
<file path=[Content_Types].xml><?xml version="1.0" encoding="utf-8"?>
<Types xmlns="http://schemas.openxmlformats.org/package/2006/content-types">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style6.xml" ContentType="application/vnd.ms-office.chartstyle+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style2.xml" ContentType="application/vnd.ms-office.chartstyle+xml"/>
  <Override PartName="/xl/worksheets/sheet3.xml" ContentType="application/vnd.openxmlformats-officedocument.spreadsheetml.worksheet+xml"/>
  <Override PartName="/xl/charts/colors7.xml" ContentType="application/vnd.ms-office.chartcolorstyle+xml"/>
  <Override PartName="/docProps/custom.xml" ContentType="application/vnd.openxmlformats-officedocument.custom-properties+xml"/>
  <Override PartName="/xl/worksheets/sheet1.xml" ContentType="application/vnd.openxmlformats-officedocument.spreadsheetml.worksheet+xml"/>
  <Override PartName="/xl/charts/colors5.xml" ContentType="application/vnd.ms-office.chartcolorstyle+xml"/>
  <Override PartName="/xl/sharedStrings.xml" ContentType="application/vnd.openxmlformats-officedocument.spreadsheetml.sharedStrings+xml"/>
  <Override PartName="/xl/charts/colors3.xml" ContentType="application/vnd.ms-office.chartcolorstyle+xml"/>
  <Override PartName="/xl/worksheets/sheet18.xml" ContentType="application/vnd.openxmlformats-officedocument.spreadsheetml.worksheet+xml"/>
  <Override PartName="/xl/charts/colors1.xml" ContentType="application/vnd.ms-office.chartcolorstyle+xml"/>
  <Default Extension="bin" ContentType="application/vnd.openxmlformats-officedocument.spreadsheetml.printerSettings"/>
  <Default Extension="png" ContentType="image/png"/>
  <Override PartName="/xl/worksheets/sheet16.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harts/style7.xml" ContentType="application/vnd.ms-office.chartsty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style5.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drawings/drawing3.xml" ContentType="application/vnd.openxmlformats-officedocument.drawing+xml"/>
  <Override PartName="/xl/charts/style3.xml" ContentType="application/vnd.ms-office.chartstyle+xml"/>
  <Override PartName="/xl/charts/colors8.xml" ContentType="application/vnd.ms-office.chartcolor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olors6.xml" ContentType="application/vnd.ms-office.chartcolorstyle+xml"/>
  <Default Extension="vml" ContentType="application/vnd.openxmlformats-officedocument.vmlDrawing"/>
  <Override PartName="/xl/charts/colors4.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charts/colors2.xml" ContentType="application/vnd.ms-office.chartcolorstyle+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style8.xml" ContentType="application/vnd.ms-office.chartstyle+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Default Extension="rels" ContentType="application/vnd.openxmlformats-package.relationships+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Horta\Desktop\"/>
    </mc:Choice>
  </mc:AlternateContent>
  <bookViews>
    <workbookView xWindow="0" yWindow="0" windowWidth="23040" windowHeight="10440" tabRatio="841" activeTab="13"/>
  </bookViews>
  <sheets>
    <sheet name="Introduction" sheetId="34" r:id="rId1"/>
    <sheet name="Inputs" sheetId="32" r:id="rId2"/>
    <sheet name="Transmission tariffs" sheetId="33" r:id="rId3"/>
    <sheet name="RPM" sheetId="10" r:id="rId4"/>
    <sheet name="Reconcile_RPM" sheetId="15" r:id="rId5"/>
    <sheet name="RPM_vs_CWD" sheetId="19" r:id="rId6"/>
    <sheet name="CAA_RPM" sheetId="29" r:id="rId7"/>
    <sheet name="CWD" sheetId="6" r:id="rId8"/>
    <sheet name="Reconcile_CWD" sheetId="27" r:id="rId9"/>
    <sheet name="Reconcile_MATRIX" sheetId="28" r:id="rId10"/>
    <sheet name="RPM_vs_CWD_vs_Matrix" sheetId="21" r:id="rId11"/>
    <sheet name="Transmission tariffs_PT" sheetId="24" r:id="rId12"/>
    <sheet name="List" sheetId="1" r:id="rId13"/>
    <sheet name="Distances" sheetId="4" r:id="rId14"/>
    <sheet name="UCC" sheetId="7" r:id="rId15"/>
    <sheet name="Short uses" sheetId="26" r:id="rId16"/>
    <sheet name="E-X Split" sheetId="22" r:id="rId17"/>
    <sheet name="Data_a" sheetId="5" r:id="rId18"/>
    <sheet name="Data_b" sheetId="14" r:id="rId19"/>
    <sheet name="Data_c" sheetId="23" r:id="rId20"/>
    <sheet name="Data_d" sheetId="25" r:id="rId21"/>
    <sheet name="PT" sheetId="17" state="hidden" r:id="rId22"/>
    <sheet name="ENG" sheetId="30" state="hidden" r:id="rId23"/>
  </sheets>
  <definedNames>
    <definedName name="_xlnm.Print_Area" localSheetId="3">RPM!$A$1:$T$51</definedName>
    <definedName name="solver_eng" localSheetId="3" hidden="1">1</definedName>
    <definedName name="solver_neg" localSheetId="3" hidden="1">1</definedName>
    <definedName name="solver_num" localSheetId="3" hidden="1">0</definedName>
    <definedName name="solver_opt" localSheetId="3" hidden="1">RPM!$B$5</definedName>
    <definedName name="solver_typ" localSheetId="3" hidden="1">1</definedName>
    <definedName name="solver_val" localSheetId="3" hidden="1">0</definedName>
    <definedName name="solver_ver" localSheetId="3" hidde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9" i="28" l="1"/>
  <c r="M66" i="28"/>
  <c r="G66" i="28"/>
  <c r="N66" i="28" s="1"/>
  <c r="F66" i="28"/>
  <c r="E66" i="28"/>
  <c r="L66" i="28" s="1"/>
  <c r="M62" i="28"/>
  <c r="G62" i="28"/>
  <c r="N62" i="28" s="1"/>
  <c r="F62" i="28"/>
  <c r="E62" i="28"/>
  <c r="L62" i="28" s="1"/>
  <c r="M58" i="28"/>
  <c r="G58" i="28"/>
  <c r="N58" i="28" s="1"/>
  <c r="F58" i="28"/>
  <c r="E58" i="28"/>
  <c r="L58" i="28" s="1"/>
  <c r="E54" i="28" a="1"/>
  <c r="G54" i="28" s="1"/>
  <c r="N54" i="28" s="1"/>
  <c r="H53" i="28"/>
  <c r="G53" i="28" s="1"/>
  <c r="N53" i="28" s="1"/>
  <c r="F53" i="28"/>
  <c r="M53" i="28" s="1"/>
  <c r="E53" i="28"/>
  <c r="L53" i="28" s="1"/>
  <c r="H52" i="28"/>
  <c r="G52" i="28" s="1"/>
  <c r="N52" i="28" s="1"/>
  <c r="F52" i="28"/>
  <c r="M52" i="28" s="1"/>
  <c r="E52" i="28"/>
  <c r="L52" i="28" s="1"/>
  <c r="I46" i="28"/>
  <c r="P46" i="28" s="1"/>
  <c r="H46" i="28"/>
  <c r="O46" i="28" s="1"/>
  <c r="P45" i="28"/>
  <c r="N45" i="28"/>
  <c r="M45" i="28"/>
  <c r="L45" i="28"/>
  <c r="I45" i="28"/>
  <c r="H45" i="28"/>
  <c r="O45" i="28" s="1"/>
  <c r="G45" i="28"/>
  <c r="F45" i="28"/>
  <c r="E45" i="28"/>
  <c r="P44" i="28"/>
  <c r="O44" i="28"/>
  <c r="N44" i="28"/>
  <c r="I44" i="28"/>
  <c r="H44" i="28"/>
  <c r="G44" i="28"/>
  <c r="F44" i="28"/>
  <c r="M44" i="28" s="1"/>
  <c r="E44" i="28"/>
  <c r="L44" i="28" s="1"/>
  <c r="I41" i="28"/>
  <c r="P41" i="28" s="1"/>
  <c r="H41" i="28"/>
  <c r="O41" i="28" s="1"/>
  <c r="P40" i="28"/>
  <c r="N40" i="28"/>
  <c r="M40" i="28"/>
  <c r="L40" i="28"/>
  <c r="I40" i="28"/>
  <c r="H40" i="28"/>
  <c r="O40" i="28" s="1"/>
  <c r="G40" i="28"/>
  <c r="F40" i="28"/>
  <c r="E40" i="28"/>
  <c r="P39" i="28"/>
  <c r="O39" i="28"/>
  <c r="N39" i="28"/>
  <c r="I39" i="28"/>
  <c r="H39" i="28"/>
  <c r="G39" i="28"/>
  <c r="F39" i="28"/>
  <c r="M39" i="28" s="1"/>
  <c r="E39" i="28"/>
  <c r="L39" i="28" s="1"/>
  <c r="I34" i="28"/>
  <c r="P34" i="28" s="1"/>
  <c r="H34" i="28"/>
  <c r="O34" i="28" s="1"/>
  <c r="P33" i="28"/>
  <c r="N33" i="28"/>
  <c r="M33" i="28"/>
  <c r="I33" i="28"/>
  <c r="H33" i="28"/>
  <c r="O33" i="28" s="1"/>
  <c r="G33" i="28"/>
  <c r="F33" i="28"/>
  <c r="E33" i="28"/>
  <c r="L33" i="28" s="1"/>
  <c r="P32" i="28"/>
  <c r="O32" i="28"/>
  <c r="I32" i="28"/>
  <c r="H32" i="28"/>
  <c r="G32" i="28"/>
  <c r="N32" i="28" s="1"/>
  <c r="F32" i="28"/>
  <c r="M32" i="28" s="1"/>
  <c r="E32" i="28"/>
  <c r="L32" i="28" s="1"/>
  <c r="N69" i="27"/>
  <c r="G66" i="27"/>
  <c r="N66" i="27" s="1"/>
  <c r="F66" i="27"/>
  <c r="M66" i="27" s="1"/>
  <c r="E66" i="27"/>
  <c r="L66" i="27" s="1"/>
  <c r="N62" i="27"/>
  <c r="G62" i="27"/>
  <c r="F62" i="27"/>
  <c r="M62" i="27" s="1"/>
  <c r="E62" i="27"/>
  <c r="L62" i="27" s="1"/>
  <c r="N58" i="27"/>
  <c r="M58" i="27"/>
  <c r="L58" i="27"/>
  <c r="G58" i="27"/>
  <c r="F58" i="27"/>
  <c r="E58" i="27"/>
  <c r="H54" i="27"/>
  <c r="O54" i="27" s="1"/>
  <c r="E54" i="27" a="1"/>
  <c r="G54" i="27" s="1"/>
  <c r="N54" i="27" s="1"/>
  <c r="O53" i="27"/>
  <c r="N53" i="27"/>
  <c r="M53" i="27"/>
  <c r="L53" i="27"/>
  <c r="H53" i="27"/>
  <c r="G53" i="27"/>
  <c r="F53" i="27"/>
  <c r="E53" i="27"/>
  <c r="O52" i="27"/>
  <c r="N52" i="27"/>
  <c r="M52" i="27"/>
  <c r="L52" i="27"/>
  <c r="H52" i="27"/>
  <c r="G52" i="27"/>
  <c r="F52" i="27"/>
  <c r="E52" i="27"/>
  <c r="I46" i="27"/>
  <c r="P46" i="27" s="1"/>
  <c r="H46" i="27"/>
  <c r="O46" i="27" s="1"/>
  <c r="M45" i="27"/>
  <c r="I45" i="27"/>
  <c r="P45" i="27" s="1"/>
  <c r="H45" i="27"/>
  <c r="O45" i="27" s="1"/>
  <c r="G45" i="27"/>
  <c r="N45" i="27" s="1"/>
  <c r="F45" i="27"/>
  <c r="E45" i="27"/>
  <c r="L45" i="27" s="1"/>
  <c r="O44" i="27"/>
  <c r="M44" i="27"/>
  <c r="L44" i="27"/>
  <c r="I44" i="27"/>
  <c r="P44" i="27" s="1"/>
  <c r="H44" i="27"/>
  <c r="G44" i="27"/>
  <c r="N44" i="27" s="1"/>
  <c r="F44" i="27"/>
  <c r="E44" i="27"/>
  <c r="I41" i="27"/>
  <c r="P41" i="27" s="1"/>
  <c r="H41" i="27"/>
  <c r="O41" i="27" s="1"/>
  <c r="I40" i="27"/>
  <c r="P40" i="27" s="1"/>
  <c r="H40" i="27"/>
  <c r="O40" i="27" s="1"/>
  <c r="G40" i="27"/>
  <c r="N40" i="27" s="1"/>
  <c r="F40" i="27"/>
  <c r="M40" i="27" s="1"/>
  <c r="E40" i="27"/>
  <c r="L40" i="27" s="1"/>
  <c r="M39" i="27"/>
  <c r="L39" i="27"/>
  <c r="I39" i="27"/>
  <c r="P39" i="27" s="1"/>
  <c r="H39" i="27"/>
  <c r="O39" i="27" s="1"/>
  <c r="G39" i="27"/>
  <c r="N39" i="27" s="1"/>
  <c r="F39" i="27"/>
  <c r="E39" i="27"/>
  <c r="I34" i="27"/>
  <c r="P34" i="27" s="1"/>
  <c r="H34" i="27"/>
  <c r="O34" i="27" s="1"/>
  <c r="I33" i="27"/>
  <c r="P33" i="27" s="1"/>
  <c r="H33" i="27"/>
  <c r="O33" i="27" s="1"/>
  <c r="G33" i="27"/>
  <c r="N33" i="27" s="1"/>
  <c r="F33" i="27"/>
  <c r="M33" i="27" s="1"/>
  <c r="E33" i="27"/>
  <c r="L33" i="27" s="1"/>
  <c r="M32" i="27"/>
  <c r="L32" i="27"/>
  <c r="I32" i="27"/>
  <c r="P32" i="27" s="1"/>
  <c r="H32" i="27"/>
  <c r="O32" i="27" s="1"/>
  <c r="G32" i="27"/>
  <c r="N32" i="27" s="1"/>
  <c r="F32" i="27"/>
  <c r="E32" i="27"/>
  <c r="H54" i="28" l="1"/>
  <c r="O54" i="28" s="1"/>
  <c r="O52" i="28"/>
  <c r="O53" i="28"/>
  <c r="E54" i="28"/>
  <c r="L54" i="28" s="1"/>
  <c r="F54" i="28"/>
  <c r="M54" i="28" s="1"/>
  <c r="E54" i="27"/>
  <c r="L54" i="27" s="1"/>
  <c r="F54" i="27"/>
  <c r="M54" i="27" s="1"/>
  <c r="D79" i="33"/>
  <c r="D78" i="33"/>
  <c r="D77" i="33"/>
  <c r="D74" i="33"/>
  <c r="D73" i="33"/>
  <c r="D72" i="33"/>
  <c r="D69" i="33"/>
  <c r="D68" i="33"/>
  <c r="D67" i="33"/>
  <c r="D64" i="33"/>
  <c r="D63" i="33"/>
  <c r="D62" i="33"/>
  <c r="D61" i="33"/>
  <c r="D58" i="33"/>
  <c r="D57" i="33"/>
  <c r="D56" i="33"/>
  <c r="D55" i="33"/>
  <c r="D24" i="33"/>
  <c r="D23" i="33"/>
  <c r="D20" i="33"/>
  <c r="D19" i="33"/>
  <c r="D18" i="33"/>
  <c r="D17" i="33"/>
  <c r="D16" i="33"/>
  <c r="D13" i="33"/>
  <c r="D12" i="33"/>
  <c r="D11" i="33"/>
  <c r="D10" i="33"/>
  <c r="D9" i="33"/>
  <c r="AF72" i="30" l="1"/>
  <c r="AF68" i="30"/>
  <c r="AC59" i="30"/>
  <c r="AC55" i="30"/>
  <c r="P51" i="30"/>
  <c r="P50" i="30"/>
  <c r="P49" i="30"/>
  <c r="P48" i="30"/>
  <c r="AA47" i="30"/>
  <c r="Z47" i="30"/>
  <c r="Y47" i="30"/>
  <c r="X47" i="30"/>
  <c r="W47" i="30"/>
  <c r="V47" i="30"/>
  <c r="U47" i="30"/>
  <c r="T47" i="30"/>
  <c r="S47" i="30"/>
  <c r="R47" i="30"/>
  <c r="Q47" i="30"/>
  <c r="M44" i="30"/>
  <c r="L44" i="30"/>
  <c r="K44" i="30"/>
  <c r="M43" i="30"/>
  <c r="L43" i="30"/>
  <c r="K43" i="30"/>
  <c r="M42" i="30"/>
  <c r="L42" i="30"/>
  <c r="K42" i="30"/>
  <c r="M41" i="30"/>
  <c r="L41" i="30"/>
  <c r="K41" i="30"/>
  <c r="M40" i="30"/>
  <c r="L40" i="30"/>
  <c r="K40" i="30"/>
  <c r="M39" i="30"/>
  <c r="L39" i="30"/>
  <c r="K39" i="30"/>
  <c r="M38" i="30"/>
  <c r="L38" i="30"/>
  <c r="K38" i="30"/>
  <c r="L37" i="30"/>
  <c r="K37" i="30"/>
  <c r="L36" i="30"/>
  <c r="K36" i="30"/>
  <c r="L35" i="30"/>
  <c r="K35" i="30"/>
  <c r="L34" i="30"/>
  <c r="K34" i="30"/>
  <c r="I24" i="30"/>
  <c r="H23" i="30"/>
  <c r="H24" i="30" s="1"/>
  <c r="O21" i="29" l="1"/>
  <c r="M10" i="29" l="1"/>
  <c r="O33" i="29" l="1"/>
  <c r="M8" i="29"/>
  <c r="AF72" i="17"/>
  <c r="AF68" i="17"/>
  <c r="AI64" i="29"/>
  <c r="AF69" i="30" s="1"/>
  <c r="AC59" i="17"/>
  <c r="AC55" i="17"/>
  <c r="AC64" i="29"/>
  <c r="N58" i="29"/>
  <c r="AF58" i="29" s="1"/>
  <c r="N55" i="29"/>
  <c r="AF55" i="29" s="1"/>
  <c r="M55" i="29"/>
  <c r="L55" i="29"/>
  <c r="N51" i="29"/>
  <c r="AF51" i="29" s="1"/>
  <c r="M51" i="29"/>
  <c r="L51" i="29"/>
  <c r="N47" i="29"/>
  <c r="AF47" i="29" s="1"/>
  <c r="M47" i="29"/>
  <c r="L47" i="29"/>
  <c r="O43" i="29"/>
  <c r="N43" i="29"/>
  <c r="M43" i="29"/>
  <c r="L43" i="29"/>
  <c r="O42" i="29"/>
  <c r="N42" i="29"/>
  <c r="M42" i="29"/>
  <c r="L42" i="29"/>
  <c r="O41" i="29"/>
  <c r="AF41" i="29" s="1"/>
  <c r="N41" i="29"/>
  <c r="M41" i="29"/>
  <c r="L41" i="29"/>
  <c r="P35" i="29"/>
  <c r="O35" i="29"/>
  <c r="AF35" i="29" s="1"/>
  <c r="P34" i="29"/>
  <c r="O34" i="29"/>
  <c r="N34" i="29"/>
  <c r="M34" i="29"/>
  <c r="L34" i="29"/>
  <c r="P33" i="29"/>
  <c r="N33" i="29"/>
  <c r="M33" i="29"/>
  <c r="L33" i="29"/>
  <c r="P30" i="29"/>
  <c r="O30" i="29"/>
  <c r="Z30" i="29" s="1"/>
  <c r="P29" i="29"/>
  <c r="O29" i="29"/>
  <c r="N29" i="29"/>
  <c r="M29" i="29"/>
  <c r="L29" i="29"/>
  <c r="P28" i="29"/>
  <c r="N28" i="29"/>
  <c r="M28" i="29"/>
  <c r="L28" i="29"/>
  <c r="P23" i="29"/>
  <c r="P22" i="29"/>
  <c r="N22" i="29"/>
  <c r="M22" i="29"/>
  <c r="L22" i="29"/>
  <c r="P21" i="29"/>
  <c r="N21" i="29"/>
  <c r="M21" i="29"/>
  <c r="L21" i="29"/>
  <c r="Z55" i="29" l="1"/>
  <c r="AI70" i="29"/>
  <c r="AF42" i="29"/>
  <c r="AC70" i="29"/>
  <c r="H29" i="30"/>
  <c r="H30" i="30" s="1"/>
  <c r="AC56" i="30"/>
  <c r="H29" i="17"/>
  <c r="AF69" i="17"/>
  <c r="AC56" i="17"/>
  <c r="Z42" i="29"/>
  <c r="Z47" i="29"/>
  <c r="Z29" i="29"/>
  <c r="Z41" i="29"/>
  <c r="Z43" i="29"/>
  <c r="Z51" i="29"/>
  <c r="AF43" i="29"/>
  <c r="AF34" i="29"/>
  <c r="AF33" i="29"/>
  <c r="AJ67" i="29" s="1"/>
  <c r="U58" i="29"/>
  <c r="AE58" i="29" s="1"/>
  <c r="O22" i="29"/>
  <c r="Z22" i="29" s="1"/>
  <c r="O23" i="29"/>
  <c r="Z23" i="29" s="1"/>
  <c r="O28" i="29"/>
  <c r="AI71" i="29" l="1"/>
  <c r="AF75" i="30"/>
  <c r="AF75" i="17"/>
  <c r="AC71" i="29"/>
  <c r="AC62" i="30"/>
  <c r="AC62" i="17"/>
  <c r="AF59" i="29"/>
  <c r="AJ66" i="29" s="1"/>
  <c r="AG72" i="17"/>
  <c r="AG72" i="30"/>
  <c r="Z28" i="29"/>
  <c r="AD67" i="29" s="1"/>
  <c r="AC63" i="17" l="1"/>
  <c r="AC63" i="30"/>
  <c r="AF76" i="17"/>
  <c r="AF76" i="30"/>
  <c r="AI66" i="29"/>
  <c r="AF71" i="30" s="1"/>
  <c r="AG71" i="17"/>
  <c r="AG71" i="30"/>
  <c r="AD59" i="17"/>
  <c r="AD59" i="30"/>
  <c r="Z21" i="29"/>
  <c r="Z59" i="29" s="1"/>
  <c r="AF71" i="17" l="1"/>
  <c r="AI69" i="29"/>
  <c r="AF74" i="17" s="1"/>
  <c r="AC66" i="29"/>
  <c r="AD66" i="29"/>
  <c r="AD58" i="30" s="1"/>
  <c r="AF74" i="30" l="1"/>
  <c r="AC69" i="29"/>
  <c r="AC58" i="30"/>
  <c r="AC58" i="17"/>
  <c r="AD58" i="17"/>
  <c r="AC61" i="17" l="1"/>
  <c r="AC61" i="30"/>
  <c r="C110" i="14"/>
  <c r="C109" i="14"/>
  <c r="B12" i="7" l="1"/>
  <c r="B6" i="10"/>
  <c r="B20" i="7"/>
  <c r="V74" i="28" l="1"/>
  <c r="V75" i="28" s="1"/>
  <c r="R69" i="28"/>
  <c r="C17" i="28"/>
  <c r="C25" i="28" s="1"/>
  <c r="C16" i="28"/>
  <c r="C22" i="28" s="1"/>
  <c r="C15" i="28"/>
  <c r="C21" i="28" s="1"/>
  <c r="C24" i="28"/>
  <c r="C23" i="28"/>
  <c r="C20" i="28"/>
  <c r="V74" i="27"/>
  <c r="V75" i="27" s="1"/>
  <c r="R69" i="27"/>
  <c r="C17" i="27"/>
  <c r="C16" i="27"/>
  <c r="C15" i="27"/>
  <c r="C26" i="28" l="1"/>
  <c r="R34" i="28"/>
  <c r="E38" i="26"/>
  <c r="R33" i="28" l="1"/>
  <c r="R40" i="28"/>
  <c r="R41" i="28"/>
  <c r="R39" i="28"/>
  <c r="R32" i="28"/>
  <c r="E39" i="26"/>
  <c r="E40" i="26" l="1"/>
  <c r="E41" i="26" l="1"/>
  <c r="C15" i="26"/>
  <c r="E42" i="26" l="1"/>
  <c r="E43" i="26" l="1"/>
  <c r="E44" i="26" l="1"/>
  <c r="I74" i="24" a="1"/>
  <c r="I74" i="24" s="1"/>
  <c r="I69" i="24" a="1"/>
  <c r="I69" i="24" s="1"/>
  <c r="I64" i="24" a="1"/>
  <c r="I64" i="24" s="1"/>
  <c r="I58" i="24" a="1"/>
  <c r="I58" i="24" s="1"/>
  <c r="I52" i="24" a="1"/>
  <c r="I55" i="24" s="1"/>
  <c r="D76" i="24"/>
  <c r="D75" i="24"/>
  <c r="D74" i="24"/>
  <c r="D71" i="24"/>
  <c r="D70" i="24"/>
  <c r="D69" i="24"/>
  <c r="D66" i="24"/>
  <c r="D65" i="24"/>
  <c r="D64" i="24"/>
  <c r="D61" i="24"/>
  <c r="D60" i="24"/>
  <c r="D59" i="24"/>
  <c r="D58" i="24"/>
  <c r="D55" i="24"/>
  <c r="D54" i="24"/>
  <c r="D53" i="24"/>
  <c r="D52" i="24"/>
  <c r="D6" i="24"/>
  <c r="D21" i="24"/>
  <c r="D20" i="24"/>
  <c r="D17" i="24"/>
  <c r="D16" i="24"/>
  <c r="D15" i="24"/>
  <c r="D14" i="24"/>
  <c r="D13" i="24"/>
  <c r="D10" i="24"/>
  <c r="D9" i="24"/>
  <c r="D8" i="24"/>
  <c r="D7" i="24"/>
  <c r="E45" i="26" l="1"/>
  <c r="I76" i="24"/>
  <c r="I75" i="24"/>
  <c r="I71" i="24"/>
  <c r="I70" i="24"/>
  <c r="I66" i="24"/>
  <c r="I65" i="24"/>
  <c r="I61" i="24"/>
  <c r="I60" i="24"/>
  <c r="I59" i="24"/>
  <c r="I54" i="24"/>
  <c r="I53" i="24"/>
  <c r="I52" i="24"/>
  <c r="T8" i="22"/>
  <c r="T9" i="22" s="1"/>
  <c r="Q8" i="22"/>
  <c r="Q9" i="22" s="1"/>
  <c r="I8" i="22"/>
  <c r="I9" i="22" s="1"/>
  <c r="D8" i="22"/>
  <c r="D9" i="22" s="1"/>
  <c r="X6" i="22"/>
  <c r="W6" i="22"/>
  <c r="V6" i="22"/>
  <c r="U6" i="22"/>
  <c r="U8" i="22" s="1"/>
  <c r="U9" i="22" s="1"/>
  <c r="T6" i="22"/>
  <c r="S6" i="22"/>
  <c r="R6" i="22"/>
  <c r="Q6" i="22"/>
  <c r="P6" i="22"/>
  <c r="O6" i="22"/>
  <c r="N6" i="22"/>
  <c r="M6" i="22"/>
  <c r="M8" i="22" s="1"/>
  <c r="M9" i="22" s="1"/>
  <c r="L6" i="22"/>
  <c r="K6" i="22"/>
  <c r="J6" i="22"/>
  <c r="I6" i="22"/>
  <c r="H6" i="22"/>
  <c r="G6" i="22"/>
  <c r="F6" i="22"/>
  <c r="E6" i="22"/>
  <c r="E8" i="22" s="1"/>
  <c r="E9" i="22" s="1"/>
  <c r="D6" i="22"/>
  <c r="C6" i="22"/>
  <c r="B6" i="22"/>
  <c r="X5" i="22"/>
  <c r="W5" i="22"/>
  <c r="W8" i="22" s="1"/>
  <c r="W9" i="22" s="1"/>
  <c r="V5" i="22"/>
  <c r="U5" i="22"/>
  <c r="T5" i="22"/>
  <c r="S5" i="22"/>
  <c r="S8" i="22" s="1"/>
  <c r="S9" i="22" s="1"/>
  <c r="R5" i="22"/>
  <c r="R8" i="22" s="1"/>
  <c r="R9" i="22" s="1"/>
  <c r="Q5" i="22"/>
  <c r="P5" i="22"/>
  <c r="O5" i="22"/>
  <c r="O8" i="22" s="1"/>
  <c r="O9" i="22" s="1"/>
  <c r="N5" i="22"/>
  <c r="M5" i="22"/>
  <c r="L5" i="22"/>
  <c r="L8" i="22" s="1"/>
  <c r="L9" i="22" s="1"/>
  <c r="K5" i="22"/>
  <c r="K8" i="22" s="1"/>
  <c r="K9" i="22" s="1"/>
  <c r="J5" i="22"/>
  <c r="J8" i="22" s="1"/>
  <c r="J9" i="22" s="1"/>
  <c r="I5" i="22"/>
  <c r="H5" i="22"/>
  <c r="G5" i="22"/>
  <c r="F5" i="22"/>
  <c r="E5" i="22"/>
  <c r="D5" i="22"/>
  <c r="C5" i="22"/>
  <c r="C8" i="22" s="1"/>
  <c r="C9" i="22" s="1"/>
  <c r="B5" i="22"/>
  <c r="U11" i="22" s="1"/>
  <c r="U12" i="22" s="1"/>
  <c r="F11" i="22" l="1"/>
  <c r="F12" i="22" s="1"/>
  <c r="F8" i="22"/>
  <c r="F9" i="22" s="1"/>
  <c r="N8" i="22"/>
  <c r="N9" i="22" s="1"/>
  <c r="V8" i="22"/>
  <c r="V9" i="22" s="1"/>
  <c r="W11" i="22"/>
  <c r="W12" i="22" s="1"/>
  <c r="P8" i="22"/>
  <c r="P9" i="22" s="1"/>
  <c r="H8" i="22"/>
  <c r="H9" i="22" s="1"/>
  <c r="X8" i="22"/>
  <c r="X9" i="22" s="1"/>
  <c r="B8" i="22"/>
  <c r="B9" i="22" s="1"/>
  <c r="V11" i="22"/>
  <c r="V12" i="22" s="1"/>
  <c r="O11" i="22"/>
  <c r="O12" i="22" s="1"/>
  <c r="H11" i="22"/>
  <c r="H12" i="22" s="1"/>
  <c r="X11" i="22"/>
  <c r="X12" i="22" s="1"/>
  <c r="Q11" i="22"/>
  <c r="Q12" i="22" s="1"/>
  <c r="B11" i="22"/>
  <c r="B12" i="22" s="1"/>
  <c r="J11" i="22"/>
  <c r="J12" i="22" s="1"/>
  <c r="R11" i="22"/>
  <c r="R12" i="22" s="1"/>
  <c r="G11" i="22"/>
  <c r="G12" i="22" s="1"/>
  <c r="P11" i="22"/>
  <c r="P12" i="22" s="1"/>
  <c r="I11" i="22"/>
  <c r="I12" i="22" s="1"/>
  <c r="C11" i="22"/>
  <c r="C12" i="22" s="1"/>
  <c r="K11" i="22"/>
  <c r="K12" i="22" s="1"/>
  <c r="S11" i="22"/>
  <c r="S12" i="22" s="1"/>
  <c r="G8" i="22"/>
  <c r="G9" i="22" s="1"/>
  <c r="D11" i="22"/>
  <c r="D12" i="22" s="1"/>
  <c r="L11" i="22"/>
  <c r="L12" i="22" s="1"/>
  <c r="T11" i="22"/>
  <c r="T12" i="22" s="1"/>
  <c r="N11" i="22"/>
  <c r="N12" i="22" s="1"/>
  <c r="E11" i="22"/>
  <c r="E12" i="22" s="1"/>
  <c r="M11" i="22"/>
  <c r="M12" i="22" s="1"/>
  <c r="E46" i="26"/>
  <c r="E47" i="26" l="1"/>
  <c r="E48" i="26" l="1"/>
  <c r="AA47" i="17"/>
  <c r="Z47" i="17"/>
  <c r="Y47" i="17"/>
  <c r="X47" i="17"/>
  <c r="W47" i="17"/>
  <c r="V47" i="17"/>
  <c r="U47" i="17"/>
  <c r="T47" i="17"/>
  <c r="S47" i="17"/>
  <c r="R47" i="17"/>
  <c r="Q47" i="17"/>
  <c r="P51" i="17"/>
  <c r="P50" i="17"/>
  <c r="P49" i="17"/>
  <c r="P48" i="17"/>
  <c r="M44" i="17"/>
  <c r="M43" i="17"/>
  <c r="M42" i="17"/>
  <c r="M41" i="17"/>
  <c r="M40" i="17"/>
  <c r="M39" i="17"/>
  <c r="M38" i="17"/>
  <c r="L44" i="17"/>
  <c r="L43" i="17"/>
  <c r="L42" i="17"/>
  <c r="L41" i="17"/>
  <c r="L40" i="17"/>
  <c r="L39" i="17"/>
  <c r="L38" i="17"/>
  <c r="L37" i="17"/>
  <c r="L36" i="17"/>
  <c r="L35" i="17"/>
  <c r="L34" i="17"/>
  <c r="K44" i="17"/>
  <c r="K42" i="17"/>
  <c r="K43" i="17"/>
  <c r="K35" i="17"/>
  <c r="K36" i="17"/>
  <c r="K37" i="17"/>
  <c r="K38" i="17"/>
  <c r="K39" i="17"/>
  <c r="K40" i="17"/>
  <c r="K41" i="17"/>
  <c r="K34" i="17"/>
  <c r="E49" i="26" l="1"/>
  <c r="E50" i="26" l="1"/>
  <c r="E51" i="26" l="1"/>
  <c r="H23" i="17"/>
  <c r="H24" i="17" s="1"/>
  <c r="I24" i="17"/>
  <c r="E52" i="26" l="1"/>
  <c r="C17" i="15"/>
  <c r="C16" i="15"/>
  <c r="C15" i="15"/>
  <c r="E53" i="26" l="1"/>
  <c r="E54" i="26" l="1"/>
  <c r="F20" i="10"/>
  <c r="E20" i="10"/>
  <c r="D20" i="10"/>
  <c r="C20" i="10"/>
  <c r="F19" i="10"/>
  <c r="E19" i="10"/>
  <c r="D19" i="10"/>
  <c r="C19" i="10"/>
  <c r="F18" i="10"/>
  <c r="E18" i="10"/>
  <c r="D18" i="10"/>
  <c r="C18" i="10"/>
  <c r="F17" i="10"/>
  <c r="E17" i="10"/>
  <c r="C17" i="10"/>
  <c r="E55" i="26" l="1"/>
  <c r="B19" i="7"/>
  <c r="B21" i="7" s="1"/>
  <c r="L5" i="7"/>
  <c r="K5" i="7"/>
  <c r="J5" i="7"/>
  <c r="I5" i="7"/>
  <c r="H5" i="7"/>
  <c r="G5" i="7"/>
  <c r="F5" i="7"/>
  <c r="E5" i="7"/>
  <c r="D5" i="7"/>
  <c r="R62" i="28" l="1"/>
  <c r="R58" i="28"/>
  <c r="R66" i="28"/>
  <c r="E56" i="26"/>
  <c r="H52" i="15"/>
  <c r="G52" i="15" s="1"/>
  <c r="I44" i="15"/>
  <c r="H44" i="15"/>
  <c r="H46" i="15"/>
  <c r="G44" i="15"/>
  <c r="G66" i="15"/>
  <c r="E44" i="15"/>
  <c r="G45" i="15"/>
  <c r="F45" i="15"/>
  <c r="E45" i="15"/>
  <c r="I46" i="15"/>
  <c r="F44" i="15"/>
  <c r="H45" i="15"/>
  <c r="G62" i="15"/>
  <c r="G58" i="15"/>
  <c r="H53" i="15"/>
  <c r="I45" i="15"/>
  <c r="B3" i="10"/>
  <c r="A16" i="6" s="1"/>
  <c r="V74" i="15"/>
  <c r="R45" i="28" l="1"/>
  <c r="R45" i="27"/>
  <c r="R46" i="27"/>
  <c r="R44" i="27"/>
  <c r="G53" i="15"/>
  <c r="C22" i="26" s="1"/>
  <c r="C23" i="26"/>
  <c r="R46" i="28"/>
  <c r="R44" i="28"/>
  <c r="R53" i="28"/>
  <c r="L44" i="15"/>
  <c r="H46" i="24"/>
  <c r="E57" i="26"/>
  <c r="V75" i="15"/>
  <c r="R52" i="28" l="1"/>
  <c r="E58" i="26"/>
  <c r="N69" i="15"/>
  <c r="R69" i="15" s="1"/>
  <c r="N66" i="15"/>
  <c r="N62" i="15"/>
  <c r="N58" i="15"/>
  <c r="O53" i="15"/>
  <c r="N53" i="15"/>
  <c r="O52" i="15"/>
  <c r="N52" i="15"/>
  <c r="P46" i="15"/>
  <c r="O46" i="15"/>
  <c r="P45" i="15"/>
  <c r="O45" i="15"/>
  <c r="N45" i="15"/>
  <c r="M45" i="15"/>
  <c r="L45" i="15"/>
  <c r="P44" i="15"/>
  <c r="O44" i="15"/>
  <c r="N44" i="15"/>
  <c r="M44" i="15"/>
  <c r="E59" i="26" l="1"/>
  <c r="R45" i="15"/>
  <c r="R44" i="15"/>
  <c r="R46" i="15"/>
  <c r="B4" i="10"/>
  <c r="C32" i="14"/>
  <c r="E60" i="26" l="1"/>
  <c r="E61" i="26" l="1"/>
  <c r="E62" i="26" l="1"/>
  <c r="D17" i="10"/>
  <c r="E63" i="26" l="1"/>
  <c r="E64" i="26" l="1"/>
  <c r="L7" i="7"/>
  <c r="B14" i="7" s="1"/>
  <c r="K7" i="7"/>
  <c r="J7" i="7"/>
  <c r="I7" i="7"/>
  <c r="H7" i="7"/>
  <c r="G7" i="7"/>
  <c r="F7" i="7"/>
  <c r="E7" i="7"/>
  <c r="D7" i="7"/>
  <c r="E6" i="7"/>
  <c r="F6" i="7"/>
  <c r="G6" i="7"/>
  <c r="H6" i="7"/>
  <c r="I6" i="7"/>
  <c r="J6" i="7"/>
  <c r="K6" i="7"/>
  <c r="L6" i="7"/>
  <c r="D6" i="7"/>
  <c r="B13" i="7" l="1"/>
  <c r="E65" i="26"/>
  <c r="D9" i="7"/>
  <c r="E9" i="7"/>
  <c r="E66" i="26" l="1"/>
  <c r="G9" i="7"/>
  <c r="H9" i="7"/>
  <c r="I9" i="7"/>
  <c r="J9" i="7"/>
  <c r="K9" i="7"/>
  <c r="L9" i="7"/>
  <c r="E67" i="26" l="1"/>
  <c r="F9" i="7"/>
  <c r="B15" i="7"/>
  <c r="B5" i="10" s="1"/>
  <c r="E68" i="26" l="1"/>
  <c r="H20" i="10"/>
  <c r="I18" i="10"/>
  <c r="K18" i="10"/>
  <c r="G20" i="10"/>
  <c r="K20" i="10"/>
  <c r="L17" i="10"/>
  <c r="H17" i="10"/>
  <c r="J19" i="10"/>
  <c r="L18" i="10"/>
  <c r="H18" i="10"/>
  <c r="K17" i="10"/>
  <c r="L19" i="10"/>
  <c r="M17" i="10"/>
  <c r="H19" i="10"/>
  <c r="J20" i="10"/>
  <c r="L20" i="10"/>
  <c r="M19" i="10"/>
  <c r="I19" i="10"/>
  <c r="J18" i="10"/>
  <c r="M18" i="10"/>
  <c r="G17" i="10"/>
  <c r="I17" i="10"/>
  <c r="J17" i="10"/>
  <c r="M20" i="10"/>
  <c r="G18" i="10"/>
  <c r="K19" i="10"/>
  <c r="I20" i="10"/>
  <c r="G19" i="10"/>
  <c r="E69" i="26" l="1"/>
  <c r="G14" i="1"/>
  <c r="G13" i="1"/>
  <c r="G12" i="1"/>
  <c r="G11" i="1"/>
  <c r="G10" i="1"/>
  <c r="G9" i="1"/>
  <c r="G8" i="1"/>
  <c r="N39" i="17" l="1"/>
  <c r="N39" i="30"/>
  <c r="N38" i="17"/>
  <c r="N38" i="30"/>
  <c r="N40" i="17"/>
  <c r="N40" i="30"/>
  <c r="N41" i="17"/>
  <c r="N41" i="30"/>
  <c r="N42" i="17"/>
  <c r="N42" i="30"/>
  <c r="N43" i="17"/>
  <c r="N43" i="30"/>
  <c r="N44" i="17"/>
  <c r="N44" i="30"/>
  <c r="E70" i="26"/>
  <c r="H35" i="10"/>
  <c r="H10" i="6"/>
  <c r="I35" i="10"/>
  <c r="I10" i="6"/>
  <c r="M35" i="10"/>
  <c r="M10" i="6"/>
  <c r="L35" i="10"/>
  <c r="L10" i="6"/>
  <c r="G35" i="10"/>
  <c r="G10" i="6"/>
  <c r="J35" i="10"/>
  <c r="J10" i="6"/>
  <c r="K35" i="10"/>
  <c r="K10" i="6"/>
  <c r="G15" i="1"/>
  <c r="C33" i="5"/>
  <c r="G7" i="1"/>
  <c r="G6" i="1"/>
  <c r="G5" i="1"/>
  <c r="N35" i="30" s="1"/>
  <c r="G4" i="1"/>
  <c r="F7" i="1"/>
  <c r="F6" i="1"/>
  <c r="F5" i="1"/>
  <c r="F4" i="1"/>
  <c r="N37" i="17" l="1"/>
  <c r="N37" i="30"/>
  <c r="M35" i="17"/>
  <c r="M35" i="30"/>
  <c r="M37" i="17"/>
  <c r="M37" i="30"/>
  <c r="N34" i="17"/>
  <c r="N34" i="30"/>
  <c r="M34" i="17"/>
  <c r="M34" i="30"/>
  <c r="M36" i="17"/>
  <c r="M36" i="30"/>
  <c r="N36" i="17"/>
  <c r="N36" i="30"/>
  <c r="N35" i="17"/>
  <c r="E71" i="26"/>
  <c r="P31" i="10"/>
  <c r="O7" i="6"/>
  <c r="P29" i="10"/>
  <c r="O5" i="6"/>
  <c r="P30" i="10"/>
  <c r="O6" i="6"/>
  <c r="C35" i="10"/>
  <c r="C10" i="6"/>
  <c r="D35" i="10"/>
  <c r="D10" i="6"/>
  <c r="P32" i="10"/>
  <c r="O8" i="6"/>
  <c r="E35" i="10"/>
  <c r="E10" i="6"/>
  <c r="F35" i="10"/>
  <c r="F10" i="6"/>
  <c r="N47" i="4"/>
  <c r="O47" i="4"/>
  <c r="Q47" i="4"/>
  <c r="S46" i="4"/>
  <c r="T46" i="4"/>
  <c r="V46" i="4"/>
  <c r="Q46" i="4"/>
  <c r="J45" i="4"/>
  <c r="K45" i="4"/>
  <c r="M45" i="4"/>
  <c r="O45" i="4"/>
  <c r="Q45" i="4"/>
  <c r="G44" i="4"/>
  <c r="H44" i="4"/>
  <c r="Q44" i="4"/>
  <c r="P43" i="4"/>
  <c r="C43" i="4" s="1"/>
  <c r="L42" i="4"/>
  <c r="M42" i="4"/>
  <c r="O42" i="4"/>
  <c r="Q42" i="4"/>
  <c r="U41" i="4"/>
  <c r="V41" i="4"/>
  <c r="Q41" i="4"/>
  <c r="V39" i="4"/>
  <c r="T39" i="4"/>
  <c r="R39" i="4"/>
  <c r="Q39" i="4"/>
  <c r="Q38" i="4"/>
  <c r="O38" i="4"/>
  <c r="M38" i="4"/>
  <c r="K38" i="4"/>
  <c r="I38" i="4"/>
  <c r="Q37" i="4"/>
  <c r="H37" i="4"/>
  <c r="F37" i="4"/>
  <c r="D37" i="4"/>
  <c r="V36" i="4"/>
  <c r="T36" i="4"/>
  <c r="R36" i="4"/>
  <c r="O36" i="4"/>
  <c r="N36" i="4"/>
  <c r="S35" i="4"/>
  <c r="R35" i="4"/>
  <c r="J34" i="4"/>
  <c r="K34" i="4"/>
  <c r="M34" i="4"/>
  <c r="O34" i="4"/>
  <c r="V34" i="4"/>
  <c r="T34" i="4"/>
  <c r="R34" i="4"/>
  <c r="G33" i="4"/>
  <c r="H33" i="4"/>
  <c r="V33" i="4"/>
  <c r="T33" i="4"/>
  <c r="R33" i="4"/>
  <c r="P32" i="4"/>
  <c r="Q32" i="4"/>
  <c r="V32" i="4"/>
  <c r="T32" i="4"/>
  <c r="R32" i="4"/>
  <c r="L31" i="4"/>
  <c r="M31" i="4"/>
  <c r="O31" i="4"/>
  <c r="V31" i="4"/>
  <c r="T31" i="4"/>
  <c r="R31" i="4"/>
  <c r="U30" i="4"/>
  <c r="T30" i="4"/>
  <c r="R30" i="4"/>
  <c r="Q29" i="4"/>
  <c r="V29" i="4"/>
  <c r="T29" i="4"/>
  <c r="R29" i="4"/>
  <c r="V27" i="4"/>
  <c r="T27" i="4"/>
  <c r="R27" i="4"/>
  <c r="O27" i="4"/>
  <c r="M27" i="4"/>
  <c r="K27" i="4"/>
  <c r="I27" i="4"/>
  <c r="V26" i="4"/>
  <c r="T26" i="4"/>
  <c r="R26" i="4"/>
  <c r="H26" i="4"/>
  <c r="F26" i="4"/>
  <c r="D26" i="4"/>
  <c r="N25" i="4"/>
  <c r="M25" i="4"/>
  <c r="K25" i="4"/>
  <c r="I25" i="4"/>
  <c r="S24" i="4"/>
  <c r="T24" i="4"/>
  <c r="V24" i="4"/>
  <c r="O24" i="4"/>
  <c r="M24" i="4"/>
  <c r="K24" i="4"/>
  <c r="I24" i="4"/>
  <c r="J23" i="4"/>
  <c r="I23" i="4"/>
  <c r="G22" i="4"/>
  <c r="H22" i="4"/>
  <c r="O22" i="4"/>
  <c r="M22" i="4"/>
  <c r="K22" i="4"/>
  <c r="I22" i="4"/>
  <c r="P21" i="4"/>
  <c r="Q21" i="4"/>
  <c r="O21" i="4"/>
  <c r="M21" i="4"/>
  <c r="K21" i="4"/>
  <c r="I21" i="4"/>
  <c r="L20" i="4"/>
  <c r="K20" i="4"/>
  <c r="I20" i="4"/>
  <c r="U19" i="4"/>
  <c r="V19" i="4"/>
  <c r="O19" i="4"/>
  <c r="M19" i="4"/>
  <c r="K19" i="4"/>
  <c r="I19" i="4"/>
  <c r="Q18" i="4"/>
  <c r="O18" i="4"/>
  <c r="M18" i="4"/>
  <c r="K18" i="4"/>
  <c r="I18" i="4"/>
  <c r="O15" i="4"/>
  <c r="M15" i="4"/>
  <c r="K15" i="4"/>
  <c r="I15" i="4"/>
  <c r="H15" i="4"/>
  <c r="F15" i="4"/>
  <c r="D15" i="4"/>
  <c r="E14" i="4"/>
  <c r="D14" i="4"/>
  <c r="S13" i="4"/>
  <c r="T13" i="4"/>
  <c r="V13" i="4"/>
  <c r="H13" i="4"/>
  <c r="F13" i="4"/>
  <c r="D13" i="4"/>
  <c r="J12" i="4"/>
  <c r="K12" i="4"/>
  <c r="M12" i="4"/>
  <c r="O12" i="4"/>
  <c r="H12" i="4"/>
  <c r="F12" i="4"/>
  <c r="D12" i="4"/>
  <c r="G11" i="4"/>
  <c r="F11" i="4"/>
  <c r="D11" i="4"/>
  <c r="P10" i="4"/>
  <c r="Q10" i="4"/>
  <c r="H10" i="4"/>
  <c r="F10" i="4"/>
  <c r="D10" i="4"/>
  <c r="C16" i="4"/>
  <c r="L9" i="4"/>
  <c r="C40" i="4"/>
  <c r="C28" i="4"/>
  <c r="C4" i="4"/>
  <c r="V17" i="4"/>
  <c r="T17" i="4"/>
  <c r="R17" i="4"/>
  <c r="O17" i="4"/>
  <c r="M17" i="4"/>
  <c r="K17" i="4"/>
  <c r="I17" i="4"/>
  <c r="O9" i="4"/>
  <c r="M9" i="4"/>
  <c r="H9" i="4"/>
  <c r="F9" i="4"/>
  <c r="D9" i="4"/>
  <c r="V8" i="4"/>
  <c r="U8" i="4"/>
  <c r="H8" i="4"/>
  <c r="F8" i="4"/>
  <c r="D8" i="4"/>
  <c r="Q7" i="4"/>
  <c r="H7" i="4"/>
  <c r="F7" i="4"/>
  <c r="D7" i="4"/>
  <c r="V6" i="4"/>
  <c r="T6" i="4"/>
  <c r="R6" i="4"/>
  <c r="H6" i="4"/>
  <c r="F6" i="4"/>
  <c r="D6" i="4"/>
  <c r="O5" i="4"/>
  <c r="M5" i="4"/>
  <c r="K5" i="4"/>
  <c r="I5" i="4"/>
  <c r="H5" i="4"/>
  <c r="F5" i="4"/>
  <c r="D5" i="4"/>
  <c r="C11" i="10" l="1"/>
  <c r="C5" i="6"/>
  <c r="D12" i="10"/>
  <c r="D6" i="6"/>
  <c r="E13" i="10"/>
  <c r="E7" i="6"/>
  <c r="F14" i="10"/>
  <c r="F8" i="6"/>
  <c r="E72" i="26"/>
  <c r="I14" i="10"/>
  <c r="I8" i="6"/>
  <c r="G26" i="10"/>
  <c r="D26" i="10"/>
  <c r="K26" i="10"/>
  <c r="F26" i="10"/>
  <c r="H26" i="10"/>
  <c r="I26" i="10"/>
  <c r="E26" i="10"/>
  <c r="C26" i="10"/>
  <c r="L26" i="10"/>
  <c r="M26" i="10"/>
  <c r="J26" i="10"/>
  <c r="E25" i="10"/>
  <c r="E31" i="10" s="1"/>
  <c r="F25" i="10"/>
  <c r="L25" i="10"/>
  <c r="D25" i="10"/>
  <c r="H25" i="10"/>
  <c r="M25" i="10"/>
  <c r="J25" i="10"/>
  <c r="I25" i="10"/>
  <c r="C25" i="10"/>
  <c r="G25" i="10"/>
  <c r="K25" i="10"/>
  <c r="I23" i="10"/>
  <c r="K23" i="10"/>
  <c r="F23" i="10"/>
  <c r="L23" i="10"/>
  <c r="G23" i="10"/>
  <c r="D23" i="10"/>
  <c r="J23" i="10"/>
  <c r="M23" i="10"/>
  <c r="E23" i="10"/>
  <c r="H23" i="10"/>
  <c r="C23" i="10"/>
  <c r="G24" i="10"/>
  <c r="D24" i="10"/>
  <c r="J24" i="10"/>
  <c r="K24" i="10"/>
  <c r="F24" i="10"/>
  <c r="H24" i="10"/>
  <c r="E24" i="10"/>
  <c r="M24" i="10"/>
  <c r="I24" i="10"/>
  <c r="L24" i="10"/>
  <c r="C24" i="10"/>
  <c r="C14" i="4"/>
  <c r="C7" i="4"/>
  <c r="C15" i="4"/>
  <c r="C9" i="4"/>
  <c r="C39" i="4"/>
  <c r="C5" i="4"/>
  <c r="C6" i="4"/>
  <c r="C8" i="4"/>
  <c r="C17" i="4"/>
  <c r="C38" i="4"/>
  <c r="C27" i="4"/>
  <c r="C26" i="4"/>
  <c r="C47" i="4"/>
  <c r="C46" i="4"/>
  <c r="C45" i="4"/>
  <c r="C44" i="4"/>
  <c r="C42" i="4"/>
  <c r="C41" i="4"/>
  <c r="C37" i="4"/>
  <c r="C36" i="4"/>
  <c r="C35" i="4"/>
  <c r="C34" i="4"/>
  <c r="C33" i="4"/>
  <c r="C32" i="4"/>
  <c r="C31" i="4"/>
  <c r="C30" i="4"/>
  <c r="C29" i="4"/>
  <c r="C25" i="4"/>
  <c r="C24" i="4"/>
  <c r="C23" i="4"/>
  <c r="C22" i="4"/>
  <c r="C21" i="4"/>
  <c r="C20" i="4"/>
  <c r="C19" i="4"/>
  <c r="C18" i="4"/>
  <c r="C13" i="4"/>
  <c r="C12" i="4"/>
  <c r="C11" i="4"/>
  <c r="C10" i="4"/>
  <c r="F15" i="1"/>
  <c r="T51" i="30" l="1"/>
  <c r="T51" i="17"/>
  <c r="D30" i="10"/>
  <c r="S50" i="30"/>
  <c r="S50" i="17"/>
  <c r="F32" i="10"/>
  <c r="C29" i="10"/>
  <c r="R49" i="17"/>
  <c r="R49" i="30"/>
  <c r="Q48" i="30"/>
  <c r="Q48" i="17"/>
  <c r="W51" i="30"/>
  <c r="W51" i="17"/>
  <c r="E73" i="26"/>
  <c r="I32" i="10"/>
  <c r="E12" i="10"/>
  <c r="E30" i="10" s="1"/>
  <c r="E6" i="6"/>
  <c r="I12" i="10"/>
  <c r="I30" i="10" s="1"/>
  <c r="I6" i="6"/>
  <c r="I13" i="10"/>
  <c r="I31" i="10" s="1"/>
  <c r="I7" i="6"/>
  <c r="J14" i="10"/>
  <c r="J32" i="10" s="1"/>
  <c r="J8" i="6"/>
  <c r="G11" i="10"/>
  <c r="G5" i="6"/>
  <c r="J11" i="10"/>
  <c r="J29" i="10" s="1"/>
  <c r="J5" i="6"/>
  <c r="K13" i="10"/>
  <c r="K31" i="10" s="1"/>
  <c r="K7" i="6"/>
  <c r="D11" i="10"/>
  <c r="D29" i="10" s="1"/>
  <c r="D5" i="6"/>
  <c r="K11" i="10"/>
  <c r="K29" i="10" s="1"/>
  <c r="K5" i="6"/>
  <c r="M14" i="10"/>
  <c r="M32" i="10" s="1"/>
  <c r="M8" i="6"/>
  <c r="E14" i="10"/>
  <c r="E32" i="10" s="1"/>
  <c r="E8" i="6"/>
  <c r="M12" i="10"/>
  <c r="M30" i="10" s="1"/>
  <c r="M6" i="6"/>
  <c r="C13" i="10"/>
  <c r="C31" i="10" s="1"/>
  <c r="C7" i="6"/>
  <c r="H12" i="10"/>
  <c r="H30" i="10" s="1"/>
  <c r="H6" i="6"/>
  <c r="H14" i="10"/>
  <c r="H32" i="10" s="1"/>
  <c r="H8" i="6"/>
  <c r="I11" i="10"/>
  <c r="I29" i="10" s="1"/>
  <c r="I5" i="6"/>
  <c r="J13" i="10"/>
  <c r="J31" i="10" s="1"/>
  <c r="J7" i="6"/>
  <c r="E11" i="10"/>
  <c r="E29" i="10" s="1"/>
  <c r="E5" i="6"/>
  <c r="L14" i="10"/>
  <c r="L32" i="10" s="1"/>
  <c r="L8" i="6"/>
  <c r="L12" i="10"/>
  <c r="L30" i="10" s="1"/>
  <c r="L6" i="6"/>
  <c r="L11" i="10"/>
  <c r="L29" i="10" s="1"/>
  <c r="L5" i="6"/>
  <c r="M13" i="10"/>
  <c r="M31" i="10" s="1"/>
  <c r="M7" i="6"/>
  <c r="H11" i="10"/>
  <c r="H29" i="10" s="1"/>
  <c r="H5" i="6"/>
  <c r="F12" i="10"/>
  <c r="F30" i="10" s="1"/>
  <c r="F6" i="6"/>
  <c r="F13" i="10"/>
  <c r="F31" i="10" s="1"/>
  <c r="F7" i="6"/>
  <c r="C14" i="10"/>
  <c r="C32" i="10" s="1"/>
  <c r="C8" i="6"/>
  <c r="D13" i="10"/>
  <c r="D31" i="10" s="1"/>
  <c r="D7" i="6"/>
  <c r="C12" i="10"/>
  <c r="C6" i="6"/>
  <c r="H13" i="10"/>
  <c r="H31" i="10" s="1"/>
  <c r="H7" i="6"/>
  <c r="M11" i="10"/>
  <c r="M29" i="10" s="1"/>
  <c r="M5" i="6"/>
  <c r="J12" i="10"/>
  <c r="J30" i="10" s="1"/>
  <c r="J6" i="6"/>
  <c r="K14" i="10"/>
  <c r="K32" i="10" s="1"/>
  <c r="K8" i="6"/>
  <c r="K12" i="10"/>
  <c r="K30" i="10" s="1"/>
  <c r="K6" i="6"/>
  <c r="C30" i="10"/>
  <c r="L13" i="10"/>
  <c r="L31" i="10" s="1"/>
  <c r="L7" i="6"/>
  <c r="G12" i="10"/>
  <c r="G30" i="10" s="1"/>
  <c r="G6" i="6"/>
  <c r="G13" i="10"/>
  <c r="G31" i="10" s="1"/>
  <c r="G7" i="6"/>
  <c r="G14" i="10"/>
  <c r="G32" i="10" s="1"/>
  <c r="G8" i="6"/>
  <c r="D14" i="10"/>
  <c r="D32" i="10" s="1"/>
  <c r="D8" i="6"/>
  <c r="F11" i="10"/>
  <c r="F29" i="10" s="1"/>
  <c r="F5" i="6"/>
  <c r="AA50" i="30" l="1"/>
  <c r="AA50" i="17"/>
  <c r="W49" i="30"/>
  <c r="W49" i="17"/>
  <c r="Y49" i="30"/>
  <c r="Y49" i="17"/>
  <c r="T50" i="30"/>
  <c r="T50" i="17"/>
  <c r="Z48" i="30"/>
  <c r="Z48" i="17"/>
  <c r="X50" i="30"/>
  <c r="X50" i="17"/>
  <c r="Q50" i="30"/>
  <c r="Q50" i="17"/>
  <c r="Y48" i="30"/>
  <c r="Y48" i="17"/>
  <c r="U48" i="30"/>
  <c r="U48" i="17"/>
  <c r="S49" i="30"/>
  <c r="S49" i="17"/>
  <c r="U50" i="30"/>
  <c r="U50" i="17"/>
  <c r="AA51" i="30"/>
  <c r="AA51" i="17"/>
  <c r="Y51" i="30"/>
  <c r="Y51" i="17"/>
  <c r="Z49" i="30"/>
  <c r="Z49" i="17"/>
  <c r="X51" i="30"/>
  <c r="X51" i="17"/>
  <c r="T48" i="30"/>
  <c r="T48" i="17"/>
  <c r="U49" i="30"/>
  <c r="U49" i="17"/>
  <c r="Q51" i="30"/>
  <c r="Q51" i="17"/>
  <c r="V49" i="30"/>
  <c r="V49" i="17"/>
  <c r="U51" i="30"/>
  <c r="U51" i="17"/>
  <c r="Q49" i="30"/>
  <c r="Q49" i="17"/>
  <c r="AA49" i="30"/>
  <c r="AA49" i="17"/>
  <c r="X49" i="30"/>
  <c r="X49" i="17"/>
  <c r="R50" i="30"/>
  <c r="R50" i="17"/>
  <c r="V48" i="30"/>
  <c r="V48" i="17"/>
  <c r="Z51" i="30"/>
  <c r="Z51" i="17"/>
  <c r="V51" i="30"/>
  <c r="V51" i="17"/>
  <c r="S51" i="30"/>
  <c r="S51" i="17"/>
  <c r="Y50" i="30"/>
  <c r="Y50" i="17"/>
  <c r="W50" i="30"/>
  <c r="W50" i="17"/>
  <c r="AA48" i="30"/>
  <c r="AA48" i="17"/>
  <c r="S48" i="30"/>
  <c r="S48" i="17"/>
  <c r="X48" i="30"/>
  <c r="X48" i="17"/>
  <c r="V50" i="30"/>
  <c r="V50" i="17"/>
  <c r="T49" i="30"/>
  <c r="T49" i="17"/>
  <c r="W48" i="30"/>
  <c r="W48" i="17"/>
  <c r="R48" i="30"/>
  <c r="R48" i="17"/>
  <c r="R51" i="30"/>
  <c r="R51" i="17"/>
  <c r="Z50" i="30"/>
  <c r="Z50" i="17"/>
  <c r="E74" i="26"/>
  <c r="G29" i="10"/>
  <c r="K34" i="10" s="1"/>
  <c r="K36" i="10" s="1"/>
  <c r="C11" i="6"/>
  <c r="P5" i="6"/>
  <c r="G11" i="6"/>
  <c r="P7" i="6"/>
  <c r="K11" i="6"/>
  <c r="F11" i="6"/>
  <c r="D11" i="6"/>
  <c r="J11" i="6"/>
  <c r="L11" i="6"/>
  <c r="H11" i="6"/>
  <c r="E11" i="6"/>
  <c r="I11" i="6"/>
  <c r="P6" i="6"/>
  <c r="M11" i="6"/>
  <c r="P8" i="6"/>
  <c r="E75" i="26" l="1"/>
  <c r="G34" i="10"/>
  <c r="G36" i="10" s="1"/>
  <c r="A49" i="10"/>
  <c r="J34" i="10"/>
  <c r="J36" i="10" s="1"/>
  <c r="I34" i="10"/>
  <c r="I36" i="10" s="1"/>
  <c r="O32" i="10"/>
  <c r="Q32" i="10" s="1"/>
  <c r="O31" i="10"/>
  <c r="Q31" i="10" s="1"/>
  <c r="H34" i="10"/>
  <c r="H36" i="10" s="1"/>
  <c r="M34" i="10"/>
  <c r="M36" i="10" s="1"/>
  <c r="O30" i="10"/>
  <c r="Q30" i="10" s="1"/>
  <c r="D34" i="10"/>
  <c r="D36" i="10" s="1"/>
  <c r="O29" i="10"/>
  <c r="Q29" i="10" s="1"/>
  <c r="L34" i="10"/>
  <c r="L36" i="10" s="1"/>
  <c r="F34" i="10"/>
  <c r="F37" i="10" s="1"/>
  <c r="E34" i="10"/>
  <c r="E36" i="10" s="1"/>
  <c r="C34" i="10"/>
  <c r="C36" i="10" s="1"/>
  <c r="Q5" i="6"/>
  <c r="C12" i="6"/>
  <c r="F12" i="6"/>
  <c r="I12" i="6"/>
  <c r="I13" i="6" s="1"/>
  <c r="G12" i="6"/>
  <c r="L12" i="6"/>
  <c r="L13" i="6" s="1"/>
  <c r="J12" i="6"/>
  <c r="J13" i="6" s="1"/>
  <c r="Q6" i="6"/>
  <c r="R6" i="6" s="1"/>
  <c r="D12" i="6"/>
  <c r="D13" i="6" s="1"/>
  <c r="E12" i="6"/>
  <c r="H12" i="6"/>
  <c r="H13" i="6" s="1"/>
  <c r="M12" i="6"/>
  <c r="M13" i="6" s="1"/>
  <c r="K12" i="6"/>
  <c r="K13" i="6" s="1"/>
  <c r="Q8" i="6"/>
  <c r="Q7" i="6"/>
  <c r="V21" i="6" l="1"/>
  <c r="C8" i="27" s="1"/>
  <c r="V24" i="6"/>
  <c r="C11" i="27" s="1"/>
  <c r="V18" i="6"/>
  <c r="C5" i="27" s="1"/>
  <c r="E76" i="26"/>
  <c r="R31" i="10"/>
  <c r="E37" i="10"/>
  <c r="W40" i="10" s="1"/>
  <c r="C37" i="10"/>
  <c r="G37" i="10"/>
  <c r="R32" i="10"/>
  <c r="F36" i="10"/>
  <c r="R29" i="10"/>
  <c r="W41" i="10"/>
  <c r="C10" i="15"/>
  <c r="C25" i="15" s="1"/>
  <c r="E13" i="6"/>
  <c r="V22" i="6" s="1"/>
  <c r="C9" i="27" s="1"/>
  <c r="C13" i="6"/>
  <c r="G13" i="6"/>
  <c r="R7" i="6"/>
  <c r="V19" i="6" s="1"/>
  <c r="C6" i="27" s="1"/>
  <c r="R8" i="6"/>
  <c r="V20" i="6" s="1"/>
  <c r="C7" i="27" s="1"/>
  <c r="F13" i="6"/>
  <c r="V23" i="6" s="1"/>
  <c r="C10" i="27" s="1"/>
  <c r="C25" i="27" s="1"/>
  <c r="R5" i="6"/>
  <c r="C6" i="15" l="1"/>
  <c r="C21" i="15" s="1"/>
  <c r="H33" i="15" s="1"/>
  <c r="O33" i="15" s="1"/>
  <c r="C21" i="27"/>
  <c r="C11" i="15"/>
  <c r="F52" i="15" s="1"/>
  <c r="M52" i="15" s="1"/>
  <c r="C5" i="15"/>
  <c r="C20" i="15" s="1"/>
  <c r="E32" i="15" s="1"/>
  <c r="C20" i="27"/>
  <c r="W37" i="10"/>
  <c r="C7" i="15"/>
  <c r="C22" i="27"/>
  <c r="C8" i="15"/>
  <c r="C23" i="15" s="1"/>
  <c r="H39" i="15" s="1"/>
  <c r="O39" i="15" s="1"/>
  <c r="C23" i="27"/>
  <c r="C9" i="15"/>
  <c r="C24" i="15" s="1"/>
  <c r="E40" i="15" s="1"/>
  <c r="C24" i="27"/>
  <c r="E77" i="26"/>
  <c r="W39" i="10"/>
  <c r="D37" i="10"/>
  <c r="K37" i="10"/>
  <c r="H37" i="10"/>
  <c r="J37" i="10"/>
  <c r="L37" i="10"/>
  <c r="I37" i="10"/>
  <c r="M37" i="10"/>
  <c r="W36" i="10"/>
  <c r="W42" i="10"/>
  <c r="W38" i="10"/>
  <c r="I41" i="15"/>
  <c r="P41" i="15" s="1"/>
  <c r="H41" i="15"/>
  <c r="R30" i="10"/>
  <c r="R41" i="27" l="1"/>
  <c r="L32" i="15"/>
  <c r="I39" i="15"/>
  <c r="P39" i="15" s="1"/>
  <c r="C22" i="15"/>
  <c r="H34" i="15" s="1"/>
  <c r="E33" i="15"/>
  <c r="E66" i="15"/>
  <c r="I32" i="15"/>
  <c r="P32" i="15" s="1"/>
  <c r="E53" i="15"/>
  <c r="L53" i="15" s="1"/>
  <c r="F32" i="15"/>
  <c r="M32" i="15" s="1"/>
  <c r="F33" i="15"/>
  <c r="M33" i="15" s="1"/>
  <c r="F39" i="15"/>
  <c r="M39" i="15" s="1"/>
  <c r="G39" i="15"/>
  <c r="N39" i="15" s="1"/>
  <c r="I33" i="15"/>
  <c r="P33" i="15" s="1"/>
  <c r="E39" i="15"/>
  <c r="G40" i="15"/>
  <c r="N40" i="15" s="1"/>
  <c r="G33" i="15"/>
  <c r="N33" i="15" s="1"/>
  <c r="E52" i="15"/>
  <c r="F40" i="15"/>
  <c r="M40" i="15" s="1"/>
  <c r="H40" i="15"/>
  <c r="O40" i="15" s="1"/>
  <c r="I40" i="15"/>
  <c r="P40" i="15" s="1"/>
  <c r="F53" i="15"/>
  <c r="M53" i="15" s="1"/>
  <c r="L40" i="15"/>
  <c r="H32" i="15"/>
  <c r="O32" i="15" s="1"/>
  <c r="C26" i="15"/>
  <c r="C20" i="26"/>
  <c r="F77" i="26" s="1"/>
  <c r="C21" i="26"/>
  <c r="C27" i="26" s="1"/>
  <c r="C29" i="26" s="1"/>
  <c r="G32" i="15"/>
  <c r="N32" i="15" s="1"/>
  <c r="C26" i="27"/>
  <c r="O41" i="15"/>
  <c r="R41" i="15" s="1"/>
  <c r="H42" i="24" a="1"/>
  <c r="E78" i="26"/>
  <c r="O34" i="15" l="1"/>
  <c r="L66" i="15"/>
  <c r="L52" i="15"/>
  <c r="R52" i="15" s="1"/>
  <c r="L33" i="15"/>
  <c r="R33" i="15" s="1"/>
  <c r="I34" i="15"/>
  <c r="P34" i="15" s="1"/>
  <c r="R53" i="15"/>
  <c r="H28" i="24" a="1"/>
  <c r="H30" i="24" s="1"/>
  <c r="H52" i="24" a="1"/>
  <c r="H55" i="24" s="1"/>
  <c r="R32" i="15"/>
  <c r="L39" i="15"/>
  <c r="R39" i="15" s="1"/>
  <c r="H13" i="24" a="1"/>
  <c r="H13" i="24" s="1"/>
  <c r="R40" i="15"/>
  <c r="H35" i="24" a="1"/>
  <c r="H35" i="24" s="1"/>
  <c r="E62" i="15"/>
  <c r="E58" i="15"/>
  <c r="F58" i="15"/>
  <c r="M58" i="15" s="1"/>
  <c r="F66" i="15"/>
  <c r="F62" i="15"/>
  <c r="M62" i="15" s="1"/>
  <c r="R40" i="27"/>
  <c r="R52" i="27"/>
  <c r="R32" i="27"/>
  <c r="R66" i="27"/>
  <c r="R39" i="27"/>
  <c r="H6" i="24" a="1"/>
  <c r="R33" i="27"/>
  <c r="R53" i="27"/>
  <c r="F37" i="26"/>
  <c r="F38" i="26"/>
  <c r="F39" i="26"/>
  <c r="F40" i="26"/>
  <c r="C26"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R34" i="27"/>
  <c r="H42" i="24"/>
  <c r="H43" i="24"/>
  <c r="E79" i="26"/>
  <c r="F78" i="26"/>
  <c r="R34" i="15" l="1"/>
  <c r="H20" i="24" a="1"/>
  <c r="H20" i="24" s="1"/>
  <c r="H53" i="24"/>
  <c r="H54" i="24"/>
  <c r="L58" i="15"/>
  <c r="R58" i="15" s="1"/>
  <c r="C28" i="26"/>
  <c r="G41" i="26" s="1"/>
  <c r="H16" i="24"/>
  <c r="H14" i="24"/>
  <c r="H52" i="24"/>
  <c r="H15" i="24"/>
  <c r="H31" i="24"/>
  <c r="H28" i="24"/>
  <c r="H29" i="24"/>
  <c r="H32" i="24"/>
  <c r="H36" i="24"/>
  <c r="H37" i="24"/>
  <c r="H38" i="24"/>
  <c r="H39" i="24"/>
  <c r="H17" i="24"/>
  <c r="R58" i="27"/>
  <c r="M66" i="15"/>
  <c r="R66" i="15" s="1"/>
  <c r="H64" i="24" a="1"/>
  <c r="H8" i="24"/>
  <c r="H7" i="24"/>
  <c r="H6" i="24"/>
  <c r="H10" i="24"/>
  <c r="H9" i="24"/>
  <c r="R62" i="27"/>
  <c r="H74" i="24" a="1"/>
  <c r="L62" i="15"/>
  <c r="R62" i="15" s="1"/>
  <c r="H69" i="24" a="1"/>
  <c r="E80" i="26"/>
  <c r="F79" i="26"/>
  <c r="G57" i="26" l="1"/>
  <c r="G56" i="26"/>
  <c r="G51" i="26"/>
  <c r="G78" i="26"/>
  <c r="G64" i="26"/>
  <c r="G39" i="26"/>
  <c r="G76" i="26"/>
  <c r="G67" i="26"/>
  <c r="H21" i="24"/>
  <c r="G53" i="26"/>
  <c r="G72" i="26"/>
  <c r="G44" i="26"/>
  <c r="G69" i="26"/>
  <c r="G40" i="26"/>
  <c r="G68" i="26"/>
  <c r="G37" i="26"/>
  <c r="G77" i="26"/>
  <c r="G65" i="26"/>
  <c r="G52" i="26"/>
  <c r="G42" i="26"/>
  <c r="E43" i="29" a="1"/>
  <c r="F43" i="29" s="1"/>
  <c r="T43" i="29" s="1"/>
  <c r="G75" i="26"/>
  <c r="G49" i="26"/>
  <c r="G79" i="26"/>
  <c r="G61" i="26"/>
  <c r="G73" i="26"/>
  <c r="G60" i="26"/>
  <c r="G48" i="26"/>
  <c r="G59" i="26"/>
  <c r="G45" i="26"/>
  <c r="G74" i="26"/>
  <c r="G66" i="26"/>
  <c r="G58" i="26"/>
  <c r="G50" i="26"/>
  <c r="G43" i="26"/>
  <c r="G63" i="26"/>
  <c r="G47" i="26"/>
  <c r="G71" i="26"/>
  <c r="G55" i="26"/>
  <c r="G38" i="26"/>
  <c r="G70" i="26"/>
  <c r="G62" i="26"/>
  <c r="G54" i="26"/>
  <c r="G46" i="26"/>
  <c r="E54" i="15" a="1"/>
  <c r="E54" i="15" s="1"/>
  <c r="H66" i="24"/>
  <c r="H65" i="24"/>
  <c r="H64" i="24"/>
  <c r="H74" i="24"/>
  <c r="H75" i="24"/>
  <c r="H76" i="24"/>
  <c r="H70" i="24"/>
  <c r="H69" i="24"/>
  <c r="H71" i="24"/>
  <c r="E81" i="26"/>
  <c r="F80" i="26"/>
  <c r="G80" i="26"/>
  <c r="F54" i="15" l="1"/>
  <c r="M54" i="15" s="1"/>
  <c r="G43" i="29"/>
  <c r="U43" i="29" s="1"/>
  <c r="E43" i="29"/>
  <c r="S43" i="29" s="1"/>
  <c r="Y43" i="29" s="1"/>
  <c r="H43" i="29"/>
  <c r="V43" i="29" s="1"/>
  <c r="G54" i="15"/>
  <c r="N54" i="15" s="1"/>
  <c r="H54" i="15"/>
  <c r="O54" i="15" s="1"/>
  <c r="L54" i="15"/>
  <c r="E82" i="26"/>
  <c r="F81" i="26"/>
  <c r="G81" i="26"/>
  <c r="R54" i="27" l="1"/>
  <c r="R70" i="27" s="1"/>
  <c r="U74" i="27" s="1"/>
  <c r="U77" i="27" s="1"/>
  <c r="AE43" i="29"/>
  <c r="R54" i="15"/>
  <c r="R70" i="15" s="1"/>
  <c r="R54" i="28"/>
  <c r="R70" i="28" s="1"/>
  <c r="U74" i="28" s="1"/>
  <c r="U77" i="28" s="1"/>
  <c r="V83" i="28" s="1"/>
  <c r="W83" i="28" s="1"/>
  <c r="E6" i="21" s="1"/>
  <c r="H58" i="24" a="1"/>
  <c r="H58" i="24" s="1"/>
  <c r="E83" i="26"/>
  <c r="F82" i="26"/>
  <c r="G82" i="26"/>
  <c r="S34" i="28" l="1"/>
  <c r="S32" i="28"/>
  <c r="S33" i="28"/>
  <c r="V82" i="28"/>
  <c r="W82" i="28" s="1"/>
  <c r="E5" i="21" s="1"/>
  <c r="V81" i="28"/>
  <c r="W81" i="28" s="1"/>
  <c r="E4" i="21" s="1"/>
  <c r="H60" i="24"/>
  <c r="U75" i="28"/>
  <c r="U78" i="28" s="1"/>
  <c r="V84" i="28" s="1"/>
  <c r="W84" i="28" s="1"/>
  <c r="E7" i="21" s="1"/>
  <c r="H61" i="24"/>
  <c r="H59" i="24"/>
  <c r="U75" i="27"/>
  <c r="U78" i="27" s="1"/>
  <c r="S44" i="27" s="1"/>
  <c r="V82" i="27"/>
  <c r="W82" i="27" s="1"/>
  <c r="V83" i="27"/>
  <c r="W83" i="27" s="1"/>
  <c r="V81" i="27"/>
  <c r="W81" i="27" s="1"/>
  <c r="S32" i="27"/>
  <c r="S33" i="27"/>
  <c r="S34" i="27"/>
  <c r="U75" i="15"/>
  <c r="U78" i="15" s="1"/>
  <c r="U74" i="15"/>
  <c r="U77" i="15" s="1"/>
  <c r="E84" i="26"/>
  <c r="G83" i="26"/>
  <c r="F83" i="26"/>
  <c r="S39" i="28" l="1"/>
  <c r="S46" i="28"/>
  <c r="V86" i="28"/>
  <c r="W86" i="28" s="1"/>
  <c r="E9" i="21" s="1"/>
  <c r="S53" i="28"/>
  <c r="S52" i="28"/>
  <c r="S44" i="28"/>
  <c r="S45" i="28"/>
  <c r="S69" i="28"/>
  <c r="S41" i="28"/>
  <c r="V85" i="28"/>
  <c r="W85" i="28" s="1"/>
  <c r="E8" i="21" s="1"/>
  <c r="V87" i="28"/>
  <c r="W87" i="28" s="1"/>
  <c r="E10" i="21" s="1"/>
  <c r="S54" i="28"/>
  <c r="S66" i="28"/>
  <c r="S62" i="28"/>
  <c r="S58" i="28"/>
  <c r="S40" i="28"/>
  <c r="E20" i="24"/>
  <c r="C14" i="29"/>
  <c r="F34" i="29" s="1"/>
  <c r="T34" i="29" s="1"/>
  <c r="H26" i="30"/>
  <c r="H25" i="30" s="1"/>
  <c r="V86" i="27"/>
  <c r="W86" i="27" s="1"/>
  <c r="D9" i="21" s="1"/>
  <c r="S53" i="27"/>
  <c r="V84" i="27"/>
  <c r="W84" i="27" s="1"/>
  <c r="D7" i="19" s="1"/>
  <c r="S41" i="27"/>
  <c r="S40" i="27"/>
  <c r="S46" i="27"/>
  <c r="S66" i="27"/>
  <c r="S54" i="27"/>
  <c r="V87" i="27"/>
  <c r="W87" i="27" s="1"/>
  <c r="D10" i="19" s="1"/>
  <c r="S62" i="27"/>
  <c r="V85" i="27"/>
  <c r="W85" i="27" s="1"/>
  <c r="D8" i="19" s="1"/>
  <c r="S58" i="27"/>
  <c r="S45" i="27"/>
  <c r="S52" i="27"/>
  <c r="S69" i="27"/>
  <c r="S39" i="27"/>
  <c r="E39" i="24"/>
  <c r="S41" i="15"/>
  <c r="S39" i="15"/>
  <c r="E71" i="24"/>
  <c r="E69" i="24"/>
  <c r="E66" i="24"/>
  <c r="E75" i="24"/>
  <c r="E31" i="24"/>
  <c r="H26" i="17"/>
  <c r="H25" i="17" s="1"/>
  <c r="E36" i="24"/>
  <c r="E29" i="24"/>
  <c r="S52" i="15"/>
  <c r="E55" i="24"/>
  <c r="V86" i="15"/>
  <c r="W86" i="15" s="1"/>
  <c r="C11" i="29" s="1"/>
  <c r="E32" i="24"/>
  <c r="E42" i="24"/>
  <c r="E30" i="24"/>
  <c r="E52" i="24"/>
  <c r="E35" i="24"/>
  <c r="E38" i="24"/>
  <c r="S53" i="15"/>
  <c r="S58" i="15"/>
  <c r="E28" i="24"/>
  <c r="S69" i="15"/>
  <c r="E54" i="24"/>
  <c r="E53" i="24"/>
  <c r="S62" i="15"/>
  <c r="V84" i="15"/>
  <c r="W84" i="15" s="1"/>
  <c r="C9" i="29" s="1"/>
  <c r="S44" i="15"/>
  <c r="S40" i="15"/>
  <c r="V87" i="15"/>
  <c r="W87" i="15" s="1"/>
  <c r="C12" i="29" s="1"/>
  <c r="E43" i="24"/>
  <c r="E37" i="24"/>
  <c r="S45" i="15"/>
  <c r="E74" i="24"/>
  <c r="V85" i="15"/>
  <c r="W85" i="15" s="1"/>
  <c r="C10" i="29" s="1"/>
  <c r="S66" i="15"/>
  <c r="S46" i="15"/>
  <c r="E76" i="24"/>
  <c r="E46" i="24"/>
  <c r="E64" i="24"/>
  <c r="E70" i="24"/>
  <c r="E65" i="24"/>
  <c r="S54" i="15"/>
  <c r="E58" i="24"/>
  <c r="D4" i="21"/>
  <c r="D4" i="19"/>
  <c r="E8" i="24"/>
  <c r="S34" i="15"/>
  <c r="V82" i="15"/>
  <c r="W82" i="15" s="1"/>
  <c r="C7" i="29" s="1"/>
  <c r="S32" i="15"/>
  <c r="E7" i="24"/>
  <c r="E17" i="24"/>
  <c r="S33" i="15"/>
  <c r="V81" i="15"/>
  <c r="E13" i="24"/>
  <c r="E6" i="24"/>
  <c r="V83" i="15"/>
  <c r="W83" i="15" s="1"/>
  <c r="C8" i="29" s="1"/>
  <c r="E10" i="24"/>
  <c r="E15" i="24"/>
  <c r="E9" i="24"/>
  <c r="E14" i="24"/>
  <c r="E16" i="24"/>
  <c r="E21" i="24"/>
  <c r="E59" i="24"/>
  <c r="E61" i="24"/>
  <c r="E60" i="24"/>
  <c r="D6" i="19"/>
  <c r="D6" i="21"/>
  <c r="D5" i="19"/>
  <c r="D5" i="21"/>
  <c r="E85" i="26"/>
  <c r="F84" i="26"/>
  <c r="G84" i="26"/>
  <c r="G55" i="29" l="1"/>
  <c r="U55" i="29" s="1"/>
  <c r="AE55" i="29" s="1"/>
  <c r="F21" i="24"/>
  <c r="E24" i="33"/>
  <c r="F24" i="33" s="1"/>
  <c r="F13" i="24"/>
  <c r="E16" i="33"/>
  <c r="F16" i="33" s="1"/>
  <c r="F8" i="24"/>
  <c r="E11" i="33"/>
  <c r="F11" i="33" s="1"/>
  <c r="F46" i="24"/>
  <c r="E49" i="33"/>
  <c r="F49" i="33" s="1"/>
  <c r="F43" i="24"/>
  <c r="E46" i="33"/>
  <c r="F46" i="33" s="1"/>
  <c r="F42" i="24"/>
  <c r="E45" i="33"/>
  <c r="F45" i="33" s="1"/>
  <c r="F31" i="24"/>
  <c r="E34" i="33"/>
  <c r="F34" i="33" s="1"/>
  <c r="H42" i="29"/>
  <c r="G42" i="29" s="1"/>
  <c r="U42" i="29" s="1"/>
  <c r="F16" i="24"/>
  <c r="E19" i="33"/>
  <c r="F19" i="33" s="1"/>
  <c r="F76" i="24"/>
  <c r="E79" i="33"/>
  <c r="F79" i="33" s="1"/>
  <c r="F28" i="24"/>
  <c r="E31" i="33"/>
  <c r="F31" i="33" s="1"/>
  <c r="F32" i="24"/>
  <c r="E35" i="33"/>
  <c r="F35" i="33" s="1"/>
  <c r="F75" i="24"/>
  <c r="E78" i="33"/>
  <c r="F78" i="33" s="1"/>
  <c r="F33" i="29"/>
  <c r="T33" i="29" s="1"/>
  <c r="F14" i="24"/>
  <c r="E17" i="33"/>
  <c r="F17" i="33" s="1"/>
  <c r="F17" i="24"/>
  <c r="E20" i="33"/>
  <c r="F20" i="33" s="1"/>
  <c r="F55" i="24"/>
  <c r="E58" i="33"/>
  <c r="F58" i="33" s="1"/>
  <c r="F69" i="24"/>
  <c r="E72" i="33"/>
  <c r="F72" i="33" s="1"/>
  <c r="F15" i="24"/>
  <c r="E18" i="33"/>
  <c r="F18" i="33" s="1"/>
  <c r="F7" i="24"/>
  <c r="E10" i="33"/>
  <c r="F10" i="33" s="1"/>
  <c r="F38" i="24"/>
  <c r="E41" i="33"/>
  <c r="F41" i="33" s="1"/>
  <c r="F71" i="24"/>
  <c r="E74" i="33"/>
  <c r="F74" i="33" s="1"/>
  <c r="F66" i="24"/>
  <c r="E69" i="33"/>
  <c r="F69" i="33" s="1"/>
  <c r="F58" i="24"/>
  <c r="E61" i="33"/>
  <c r="F61" i="33" s="1"/>
  <c r="F10" i="24"/>
  <c r="E13" i="33"/>
  <c r="F13" i="33" s="1"/>
  <c r="F74" i="24"/>
  <c r="E77" i="33"/>
  <c r="F77" i="33" s="1"/>
  <c r="F35" i="24"/>
  <c r="E38" i="33"/>
  <c r="F38" i="33" s="1"/>
  <c r="F61" i="24"/>
  <c r="E64" i="33"/>
  <c r="F64" i="33" s="1"/>
  <c r="F70" i="24"/>
  <c r="E73" i="33"/>
  <c r="F73" i="33" s="1"/>
  <c r="F53" i="24"/>
  <c r="E56" i="33"/>
  <c r="F56" i="33" s="1"/>
  <c r="F52" i="24"/>
  <c r="E55" i="33"/>
  <c r="F55" i="33" s="1"/>
  <c r="F36" i="24"/>
  <c r="E39" i="33"/>
  <c r="F39" i="33" s="1"/>
  <c r="F9" i="24"/>
  <c r="E12" i="33"/>
  <c r="F12" i="33" s="1"/>
  <c r="F60" i="24"/>
  <c r="E63" i="33"/>
  <c r="F63" i="33" s="1"/>
  <c r="F65" i="24"/>
  <c r="E68" i="33"/>
  <c r="F68" i="33" s="1"/>
  <c r="F29" i="24"/>
  <c r="E32" i="33"/>
  <c r="F32" i="33" s="1"/>
  <c r="F59" i="24"/>
  <c r="E62" i="33"/>
  <c r="F62" i="33" s="1"/>
  <c r="F6" i="24"/>
  <c r="E9" i="33"/>
  <c r="F9" i="33" s="1"/>
  <c r="F64" i="24"/>
  <c r="E67" i="33"/>
  <c r="F67" i="33" s="1"/>
  <c r="F37" i="24"/>
  <c r="E40" i="33"/>
  <c r="F40" i="33" s="1"/>
  <c r="F54" i="24"/>
  <c r="E57" i="33"/>
  <c r="F57" i="33" s="1"/>
  <c r="F30" i="24"/>
  <c r="E33" i="33"/>
  <c r="F33" i="33" s="1"/>
  <c r="F39" i="24"/>
  <c r="E42" i="33"/>
  <c r="F42" i="33" s="1"/>
  <c r="F20" i="24"/>
  <c r="E23" i="33"/>
  <c r="F23" i="33" s="1"/>
  <c r="S70" i="28"/>
  <c r="I35" i="29"/>
  <c r="W35" i="29" s="1"/>
  <c r="G47" i="29"/>
  <c r="U47" i="29" s="1"/>
  <c r="AE47" i="29" s="1"/>
  <c r="G51" i="29"/>
  <c r="U51" i="29" s="1"/>
  <c r="AE51" i="29" s="1"/>
  <c r="G33" i="29"/>
  <c r="U33" i="29" s="1"/>
  <c r="E34" i="29"/>
  <c r="S34" i="29" s="1"/>
  <c r="H34" i="29"/>
  <c r="V34" i="29" s="1"/>
  <c r="I34" i="29"/>
  <c r="W34" i="29" s="1"/>
  <c r="G34" i="29"/>
  <c r="U34" i="29" s="1"/>
  <c r="H33" i="29"/>
  <c r="V33" i="29" s="1"/>
  <c r="H41" i="29"/>
  <c r="V41" i="29" s="1"/>
  <c r="E33" i="29"/>
  <c r="S33" i="29" s="1"/>
  <c r="I33" i="29"/>
  <c r="W33" i="29" s="1"/>
  <c r="W81" i="15"/>
  <c r="C6" i="29" s="1"/>
  <c r="H35" i="29"/>
  <c r="V35" i="29" s="1"/>
  <c r="D10" i="21"/>
  <c r="D9" i="19"/>
  <c r="F47" i="29"/>
  <c r="T47" i="29" s="1"/>
  <c r="E41" i="29"/>
  <c r="S41" i="29" s="1"/>
  <c r="F55" i="29"/>
  <c r="T55" i="29" s="1"/>
  <c r="F42" i="29"/>
  <c r="T42" i="29" s="1"/>
  <c r="E42" i="29"/>
  <c r="S42" i="29" s="1"/>
  <c r="F41" i="29"/>
  <c r="T41" i="29" s="1"/>
  <c r="E55" i="29"/>
  <c r="S55" i="29" s="1"/>
  <c r="F51" i="29"/>
  <c r="T51" i="29" s="1"/>
  <c r="E51" i="29"/>
  <c r="E47" i="29"/>
  <c r="I30" i="29"/>
  <c r="W30" i="29" s="1"/>
  <c r="H30" i="29"/>
  <c r="V30" i="29" s="1"/>
  <c r="I23" i="29"/>
  <c r="W23" i="29" s="1"/>
  <c r="H23" i="29"/>
  <c r="V23" i="29" s="1"/>
  <c r="F29" i="29"/>
  <c r="T29" i="29" s="1"/>
  <c r="E29" i="29"/>
  <c r="S29" i="29" s="1"/>
  <c r="G29" i="29"/>
  <c r="U29" i="29" s="1"/>
  <c r="I29" i="29"/>
  <c r="W29" i="29" s="1"/>
  <c r="H29" i="29"/>
  <c r="V29" i="29" s="1"/>
  <c r="E28" i="29"/>
  <c r="S28" i="29" s="1"/>
  <c r="I28" i="29"/>
  <c r="W28" i="29" s="1"/>
  <c r="H28" i="29"/>
  <c r="V28" i="29" s="1"/>
  <c r="G28" i="29"/>
  <c r="U28" i="29" s="1"/>
  <c r="F28" i="29"/>
  <c r="T28" i="29" s="1"/>
  <c r="I22" i="29"/>
  <c r="W22" i="29" s="1"/>
  <c r="E22" i="29"/>
  <c r="S22" i="29" s="1"/>
  <c r="H22" i="29"/>
  <c r="F22" i="29"/>
  <c r="T22" i="29" s="1"/>
  <c r="G22" i="29"/>
  <c r="U22" i="29" s="1"/>
  <c r="D7" i="21"/>
  <c r="D8" i="21"/>
  <c r="S70" i="27"/>
  <c r="S70" i="15"/>
  <c r="C10" i="21"/>
  <c r="C10" i="19"/>
  <c r="C9" i="19"/>
  <c r="C9" i="21"/>
  <c r="C6" i="21"/>
  <c r="C6" i="19"/>
  <c r="C5" i="21"/>
  <c r="C5" i="19"/>
  <c r="C8" i="21"/>
  <c r="C8" i="19"/>
  <c r="C7" i="19"/>
  <c r="C7" i="21"/>
  <c r="E86" i="26"/>
  <c r="G85" i="26"/>
  <c r="F85" i="26"/>
  <c r="V42" i="29" l="1"/>
  <c r="AE42" i="29" s="1"/>
  <c r="AE35" i="29"/>
  <c r="C4" i="21"/>
  <c r="Y23" i="29"/>
  <c r="AE34" i="29"/>
  <c r="AE33" i="29"/>
  <c r="C4" i="19"/>
  <c r="G41" i="29"/>
  <c r="U41" i="29" s="1"/>
  <c r="AE41" i="29" s="1"/>
  <c r="Y42" i="29"/>
  <c r="H21" i="29"/>
  <c r="V21" i="29" s="1"/>
  <c r="F21" i="29"/>
  <c r="T21" i="29" s="1"/>
  <c r="G21" i="29"/>
  <c r="U21" i="29" s="1"/>
  <c r="I21" i="29"/>
  <c r="W21" i="29" s="1"/>
  <c r="E21" i="29"/>
  <c r="S21" i="29" s="1"/>
  <c r="V22" i="29"/>
  <c r="Y22" i="29" s="1"/>
  <c r="M11" i="29"/>
  <c r="Y30" i="29"/>
  <c r="Y41" i="29"/>
  <c r="S47" i="29"/>
  <c r="Y47" i="29" s="1"/>
  <c r="Y28" i="29"/>
  <c r="Y55" i="29"/>
  <c r="Y29" i="29"/>
  <c r="S51" i="29"/>
  <c r="Y51" i="29" s="1"/>
  <c r="E87" i="26"/>
  <c r="G86" i="26"/>
  <c r="F86" i="26"/>
  <c r="Y21" i="29" l="1"/>
  <c r="Y59" i="29" s="1"/>
  <c r="AD64" i="29" s="1"/>
  <c r="AD56" i="30" s="1"/>
  <c r="Z17" i="22"/>
  <c r="AE59" i="29"/>
  <c r="AJ64" i="29" s="1"/>
  <c r="E88" i="26"/>
  <c r="G87" i="26"/>
  <c r="F87" i="26"/>
  <c r="Z16" i="22" l="1"/>
  <c r="Z18" i="22" s="1"/>
  <c r="AA18" i="22" s="1"/>
  <c r="AJ70" i="29"/>
  <c r="AG75" i="30" s="1"/>
  <c r="AG69" i="30"/>
  <c r="AJ63" i="29"/>
  <c r="AG69" i="17"/>
  <c r="AD63" i="29"/>
  <c r="AD55" i="30" s="1"/>
  <c r="AD56" i="17"/>
  <c r="AD70" i="29"/>
  <c r="AD62" i="30" s="1"/>
  <c r="E89" i="26"/>
  <c r="F88" i="26"/>
  <c r="G88" i="26"/>
  <c r="AA16" i="22" l="1"/>
  <c r="H27" i="30" s="1"/>
  <c r="H28" i="30" s="1"/>
  <c r="AG75" i="17"/>
  <c r="AA17" i="22"/>
  <c r="AG68" i="17"/>
  <c r="AG68" i="30"/>
  <c r="AJ69" i="29"/>
  <c r="AD55" i="17"/>
  <c r="AD69" i="29"/>
  <c r="AD62" i="17"/>
  <c r="H30" i="17"/>
  <c r="E90" i="26"/>
  <c r="F89" i="26"/>
  <c r="G89" i="26"/>
  <c r="H27" i="17" l="1"/>
  <c r="H28" i="17" s="1"/>
  <c r="AD61" i="17"/>
  <c r="AD61" i="30"/>
  <c r="AG74" i="17"/>
  <c r="AG74" i="30"/>
  <c r="AD71" i="29"/>
  <c r="AJ71" i="29"/>
  <c r="E91" i="26"/>
  <c r="F90" i="26"/>
  <c r="G90" i="26"/>
  <c r="AG76" i="17" l="1"/>
  <c r="AG76" i="30"/>
  <c r="AD63" i="17"/>
  <c r="AD63" i="30"/>
  <c r="E92" i="26"/>
  <c r="G91" i="26"/>
  <c r="F91" i="26"/>
  <c r="E93" i="26" l="1"/>
  <c r="F92" i="26"/>
  <c r="G92" i="26"/>
  <c r="E94" i="26" l="1"/>
  <c r="G93" i="26"/>
  <c r="F93" i="26"/>
  <c r="E95" i="26" l="1"/>
  <c r="G94" i="26"/>
  <c r="F94" i="26"/>
  <c r="E96" i="26" l="1"/>
  <c r="G95" i="26"/>
  <c r="F95" i="26"/>
  <c r="E97" i="26" l="1"/>
  <c r="F96" i="26"/>
  <c r="G96" i="26"/>
  <c r="E98" i="26" l="1"/>
  <c r="F97" i="26"/>
  <c r="G97" i="26"/>
  <c r="E99" i="26" l="1"/>
  <c r="F98" i="26"/>
  <c r="G98" i="26"/>
  <c r="E100" i="26" l="1"/>
  <c r="G99" i="26"/>
  <c r="F99" i="26"/>
  <c r="E101" i="26" l="1"/>
  <c r="G100" i="26"/>
  <c r="F100" i="26"/>
  <c r="E102" i="26" l="1"/>
  <c r="G101" i="26"/>
  <c r="F101" i="26"/>
  <c r="E103" i="26" l="1"/>
  <c r="G102" i="26"/>
  <c r="F102" i="26"/>
  <c r="E104" i="26" l="1"/>
  <c r="G103" i="26"/>
  <c r="F103" i="26"/>
  <c r="E105" i="26" l="1"/>
  <c r="F104" i="26"/>
  <c r="G104" i="26"/>
  <c r="E106" i="26" l="1"/>
  <c r="F105" i="26"/>
  <c r="G105" i="26"/>
  <c r="E107" i="26" l="1"/>
  <c r="F106" i="26"/>
  <c r="G106" i="26"/>
  <c r="E108" i="26" l="1"/>
  <c r="G107" i="26"/>
  <c r="F107" i="26"/>
  <c r="E109" i="26" l="1"/>
  <c r="G108" i="26"/>
  <c r="F108" i="26"/>
  <c r="E110" i="26" l="1"/>
  <c r="G109" i="26"/>
  <c r="F109" i="26"/>
  <c r="E111" i="26" l="1"/>
  <c r="G110" i="26"/>
  <c r="F110" i="26"/>
  <c r="E112" i="26" l="1"/>
  <c r="G111" i="26"/>
  <c r="F111" i="26"/>
  <c r="E113" i="26" l="1"/>
  <c r="F112" i="26"/>
  <c r="G112" i="26"/>
  <c r="E114" i="26" l="1"/>
  <c r="F113" i="26"/>
  <c r="G113" i="26"/>
  <c r="E115" i="26" l="1"/>
  <c r="F114" i="26"/>
  <c r="G114" i="26"/>
  <c r="E116" i="26" l="1"/>
  <c r="G115" i="26"/>
  <c r="F115" i="26"/>
  <c r="E117" i="26" l="1"/>
  <c r="G116" i="26"/>
  <c r="F116" i="26"/>
  <c r="E118" i="26" l="1"/>
  <c r="G117" i="26"/>
  <c r="F117" i="26"/>
  <c r="E119" i="26" l="1"/>
  <c r="G118" i="26"/>
  <c r="F118" i="26"/>
  <c r="E120" i="26" l="1"/>
  <c r="G119" i="26"/>
  <c r="F119" i="26"/>
  <c r="E121" i="26" l="1"/>
  <c r="F120" i="26"/>
  <c r="G120" i="26"/>
  <c r="E122" i="26" l="1"/>
  <c r="F121" i="26"/>
  <c r="G121" i="26"/>
  <c r="E123" i="26" l="1"/>
  <c r="F122" i="26"/>
  <c r="G122" i="26"/>
  <c r="E124" i="26" l="1"/>
  <c r="G123" i="26"/>
  <c r="F123" i="26"/>
  <c r="E125" i="26" l="1"/>
  <c r="G124" i="26"/>
  <c r="F124" i="26"/>
  <c r="E126" i="26" l="1"/>
  <c r="G125" i="26"/>
  <c r="F125" i="26"/>
  <c r="E127" i="26" l="1"/>
  <c r="G126" i="26"/>
  <c r="F126" i="26"/>
  <c r="E128" i="26" l="1"/>
  <c r="G127" i="26"/>
  <c r="F127" i="26"/>
  <c r="E129" i="26" l="1"/>
  <c r="F128" i="26"/>
  <c r="G128" i="26"/>
  <c r="E130" i="26" l="1"/>
  <c r="F129" i="26"/>
  <c r="G129" i="26"/>
  <c r="E131" i="26" l="1"/>
  <c r="F130" i="26"/>
  <c r="G130" i="26"/>
  <c r="E132" i="26" l="1"/>
  <c r="G131" i="26"/>
  <c r="F131" i="26"/>
  <c r="E133" i="26" l="1"/>
  <c r="G132" i="26"/>
  <c r="F132" i="26"/>
  <c r="E134" i="26" l="1"/>
  <c r="G133" i="26"/>
  <c r="F133" i="26"/>
  <c r="E135" i="26" l="1"/>
  <c r="G134" i="26"/>
  <c r="F134" i="26"/>
  <c r="E136" i="26" l="1"/>
  <c r="G135" i="26"/>
  <c r="F135" i="26"/>
  <c r="E137" i="26" l="1"/>
  <c r="F136" i="26"/>
  <c r="G136" i="26"/>
  <c r="E138" i="26" l="1"/>
  <c r="F137" i="26"/>
  <c r="G137" i="26"/>
  <c r="E139" i="26" l="1"/>
  <c r="F138" i="26"/>
  <c r="G138" i="26"/>
  <c r="E140" i="26" l="1"/>
  <c r="G139" i="26"/>
  <c r="F139" i="26"/>
  <c r="E141" i="26" l="1"/>
  <c r="G140" i="26"/>
  <c r="F140" i="26"/>
  <c r="E142" i="26" l="1"/>
  <c r="G141" i="26"/>
  <c r="F141" i="26"/>
  <c r="E143" i="26" l="1"/>
  <c r="G142" i="26"/>
  <c r="F142" i="26"/>
  <c r="E144" i="26" l="1"/>
  <c r="G143" i="26"/>
  <c r="F143" i="26"/>
  <c r="E145" i="26" l="1"/>
  <c r="F144" i="26"/>
  <c r="G144" i="26"/>
  <c r="E146" i="26" l="1"/>
  <c r="F145" i="26"/>
  <c r="G145" i="26"/>
  <c r="E147" i="26" l="1"/>
  <c r="F146" i="26"/>
  <c r="G146" i="26"/>
  <c r="E148" i="26" l="1"/>
  <c r="G147" i="26"/>
  <c r="F147" i="26"/>
  <c r="E149" i="26" l="1"/>
  <c r="G148" i="26"/>
  <c r="F148" i="26"/>
  <c r="E150" i="26" l="1"/>
  <c r="G149" i="26"/>
  <c r="F149" i="26"/>
  <c r="E151" i="26" l="1"/>
  <c r="G150" i="26"/>
  <c r="F150" i="26"/>
  <c r="E152" i="26" l="1"/>
  <c r="G151" i="26"/>
  <c r="F151" i="26"/>
  <c r="E153" i="26" l="1"/>
  <c r="F152" i="26"/>
  <c r="G152" i="26"/>
  <c r="E154" i="26" l="1"/>
  <c r="F153" i="26"/>
  <c r="G153" i="26"/>
  <c r="E155" i="26" l="1"/>
  <c r="F154" i="26"/>
  <c r="G154" i="26"/>
  <c r="E156" i="26" l="1"/>
  <c r="G155" i="26"/>
  <c r="F155" i="26"/>
  <c r="E157" i="26" l="1"/>
  <c r="G156" i="26"/>
  <c r="F156" i="26"/>
  <c r="E158" i="26" l="1"/>
  <c r="G157" i="26"/>
  <c r="F157" i="26"/>
  <c r="E159" i="26" l="1"/>
  <c r="G158" i="26"/>
  <c r="F158" i="26"/>
  <c r="E160" i="26" l="1"/>
  <c r="G159" i="26"/>
  <c r="F159" i="26"/>
  <c r="E161" i="26" l="1"/>
  <c r="F160" i="26"/>
  <c r="G160" i="26"/>
  <c r="E162" i="26" l="1"/>
  <c r="F161" i="26"/>
  <c r="G161" i="26"/>
  <c r="E163" i="26" l="1"/>
  <c r="F162" i="26"/>
  <c r="G162" i="26"/>
  <c r="E164" i="26" l="1"/>
  <c r="G163" i="26"/>
  <c r="F163" i="26"/>
  <c r="E165" i="26" l="1"/>
  <c r="G164" i="26"/>
  <c r="F164" i="26"/>
  <c r="E166" i="26" l="1"/>
  <c r="G165" i="26"/>
  <c r="F165" i="26"/>
  <c r="E167" i="26" l="1"/>
  <c r="G166" i="26"/>
  <c r="F166" i="26"/>
  <c r="E168" i="26" l="1"/>
  <c r="G167" i="26"/>
  <c r="F167" i="26"/>
  <c r="E169" i="26" l="1"/>
  <c r="F168" i="26"/>
  <c r="G168" i="26"/>
  <c r="E170" i="26" l="1"/>
  <c r="F169" i="26"/>
  <c r="G169" i="26"/>
  <c r="E171" i="26" l="1"/>
  <c r="F170" i="26"/>
  <c r="G170" i="26"/>
  <c r="E172" i="26" l="1"/>
  <c r="G171" i="26"/>
  <c r="F171" i="26"/>
  <c r="E173" i="26" l="1"/>
  <c r="G172" i="26"/>
  <c r="F172" i="26"/>
  <c r="E174" i="26" l="1"/>
  <c r="G173" i="26"/>
  <c r="F173" i="26"/>
  <c r="E175" i="26" l="1"/>
  <c r="G174" i="26"/>
  <c r="F174" i="26"/>
  <c r="E176" i="26" l="1"/>
  <c r="G175" i="26"/>
  <c r="F175" i="26"/>
  <c r="E177" i="26" l="1"/>
  <c r="F176" i="26"/>
  <c r="G176" i="26"/>
  <c r="E178" i="26" l="1"/>
  <c r="F177" i="26"/>
  <c r="G177" i="26"/>
  <c r="E179" i="26" l="1"/>
  <c r="F178" i="26"/>
  <c r="G178" i="26"/>
  <c r="E180" i="26" l="1"/>
  <c r="G179" i="26"/>
  <c r="F179" i="26"/>
  <c r="E181" i="26" l="1"/>
  <c r="G180" i="26"/>
  <c r="F180" i="26"/>
  <c r="E182" i="26" l="1"/>
  <c r="G181" i="26"/>
  <c r="F181" i="26"/>
  <c r="E183" i="26" l="1"/>
  <c r="G182" i="26"/>
  <c r="F182" i="26"/>
  <c r="E184" i="26" l="1"/>
  <c r="G183" i="26"/>
  <c r="F183" i="26"/>
  <c r="E185" i="26" l="1"/>
  <c r="F184" i="26"/>
  <c r="G184" i="26"/>
  <c r="E186" i="26" l="1"/>
  <c r="F185" i="26"/>
  <c r="G185" i="26"/>
  <c r="E187" i="26" l="1"/>
  <c r="F186" i="26"/>
  <c r="G186" i="26"/>
  <c r="E188" i="26" l="1"/>
  <c r="G187" i="26"/>
  <c r="F187" i="26"/>
  <c r="E189" i="26" l="1"/>
  <c r="G188" i="26"/>
  <c r="F188" i="26"/>
  <c r="E190" i="26" l="1"/>
  <c r="G189" i="26"/>
  <c r="F189" i="26"/>
  <c r="E191" i="26" l="1"/>
  <c r="G190" i="26"/>
  <c r="F190" i="26"/>
  <c r="E192" i="26" l="1"/>
  <c r="G191" i="26"/>
  <c r="F191" i="26"/>
  <c r="E193" i="26" l="1"/>
  <c r="F192" i="26"/>
  <c r="G192" i="26"/>
  <c r="E194" i="26" l="1"/>
  <c r="F193" i="26"/>
  <c r="G193" i="26"/>
  <c r="E195" i="26" l="1"/>
  <c r="F194" i="26"/>
  <c r="G194" i="26"/>
  <c r="E196" i="26" l="1"/>
  <c r="G195" i="26"/>
  <c r="F195" i="26"/>
  <c r="E197" i="26" l="1"/>
  <c r="G196" i="26"/>
  <c r="F196" i="26"/>
  <c r="E198" i="26" l="1"/>
  <c r="G197" i="26"/>
  <c r="F197" i="26"/>
  <c r="E199" i="26" l="1"/>
  <c r="G198" i="26"/>
  <c r="F198" i="26"/>
  <c r="G199" i="26" l="1"/>
  <c r="F199" i="26"/>
</calcChain>
</file>

<file path=xl/comments1.xml><?xml version="1.0" encoding="utf-8"?>
<comments xmlns="http://schemas.openxmlformats.org/spreadsheetml/2006/main">
  <authors>
    <author>Daniel Horta</author>
  </authors>
  <commentList>
    <comment ref="C15" authorId="0" shapeId="0">
      <text>
        <r>
          <rPr>
            <b/>
            <sz val="9"/>
            <color indexed="81"/>
            <rFont val="Tahoma"/>
            <family val="2"/>
          </rPr>
          <t>Daniel Horta:</t>
        </r>
        <r>
          <rPr>
            <sz val="9"/>
            <color indexed="81"/>
            <rFont val="Tahoma"/>
            <family val="2"/>
          </rPr>
          <t xml:space="preserve">
Determinado pelo peso dos troços periféricos no total do montante imputado às saídas.</t>
        </r>
      </text>
    </comment>
    <comment ref="E37" authorId="0" shapeId="0">
      <text>
        <r>
          <rPr>
            <b/>
            <sz val="9"/>
            <color indexed="81"/>
            <rFont val="Tahoma"/>
            <family val="2"/>
          </rPr>
          <t>Daniel Horta:</t>
        </r>
        <r>
          <rPr>
            <sz val="9"/>
            <color indexed="81"/>
            <rFont val="Tahoma"/>
            <family val="2"/>
          </rPr>
          <t xml:space="preserve">
Alterar aqui para mudar os incrementos no eixo de Consumos.</t>
        </r>
      </text>
    </comment>
  </commentList>
</comments>
</file>

<file path=xl/sharedStrings.xml><?xml version="1.0" encoding="utf-8"?>
<sst xmlns="http://schemas.openxmlformats.org/spreadsheetml/2006/main" count="2423" uniqueCount="577">
  <si>
    <t>Points</t>
  </si>
  <si>
    <t>Type</t>
  </si>
  <si>
    <t>Entry</t>
  </si>
  <si>
    <t>Exit</t>
  </si>
  <si>
    <t>A</t>
  </si>
  <si>
    <t>Yes</t>
  </si>
  <si>
    <t>B</t>
  </si>
  <si>
    <t>Name</t>
  </si>
  <si>
    <t>Campo Maior</t>
  </si>
  <si>
    <t>Valença do Minho</t>
  </si>
  <si>
    <t>Carriço</t>
  </si>
  <si>
    <t>C</t>
  </si>
  <si>
    <t>D</t>
  </si>
  <si>
    <t>List of network points</t>
  </si>
  <si>
    <t>E</t>
  </si>
  <si>
    <t>F</t>
  </si>
  <si>
    <t>No</t>
  </si>
  <si>
    <t>Entry point</t>
  </si>
  <si>
    <t>Exit point</t>
  </si>
  <si>
    <t>CAP Exit</t>
  </si>
  <si>
    <t>CAP Entry</t>
  </si>
  <si>
    <t>km</t>
  </si>
  <si>
    <t>AD</t>
  </si>
  <si>
    <t>Terminal de Sines</t>
  </si>
  <si>
    <t>Lisboagás, Setgás, Carregado, Ribatejo</t>
  </si>
  <si>
    <t>Portgás, Central Outeiro</t>
  </si>
  <si>
    <t>Lusitâniagás, Central Lares, Central Figueira da Foz</t>
  </si>
  <si>
    <t>Tagusgás, Central Pego</t>
  </si>
  <si>
    <t>Portucel</t>
  </si>
  <si>
    <t>Refinaria Sines, Portucel</t>
  </si>
  <si>
    <t>Beiragás</t>
  </si>
  <si>
    <t>G</t>
  </si>
  <si>
    <t>H</t>
  </si>
  <si>
    <t>I</t>
  </si>
  <si>
    <t>J</t>
  </si>
  <si>
    <t>K</t>
  </si>
  <si>
    <t>Aa</t>
  </si>
  <si>
    <t>5+8</t>
  </si>
  <si>
    <t>aK</t>
  </si>
  <si>
    <t>ah</t>
  </si>
  <si>
    <t>hH</t>
  </si>
  <si>
    <t>hc</t>
  </si>
  <si>
    <t>Bi</t>
  </si>
  <si>
    <t>iI</t>
  </si>
  <si>
    <t>4+2</t>
  </si>
  <si>
    <t>if</t>
  </si>
  <si>
    <t>fF</t>
  </si>
  <si>
    <t>fb</t>
  </si>
  <si>
    <t>6+8</t>
  </si>
  <si>
    <t>bK</t>
  </si>
  <si>
    <t>bc</t>
  </si>
  <si>
    <t>DG</t>
  </si>
  <si>
    <t>Dc</t>
  </si>
  <si>
    <t>Cj</t>
  </si>
  <si>
    <t>jJ</t>
  </si>
  <si>
    <t>7+1</t>
  </si>
  <si>
    <t>je</t>
  </si>
  <si>
    <t>eE</t>
  </si>
  <si>
    <t>ec</t>
  </si>
  <si>
    <t>AA</t>
  </si>
  <si>
    <t>AB</t>
  </si>
  <si>
    <t>AC</t>
  </si>
  <si>
    <t>AE</t>
  </si>
  <si>
    <t>AF</t>
  </si>
  <si>
    <t>AG</t>
  </si>
  <si>
    <t>AH</t>
  </si>
  <si>
    <t>AI</t>
  </si>
  <si>
    <t>AJ</t>
  </si>
  <si>
    <t>AK</t>
  </si>
  <si>
    <t>BA</t>
  </si>
  <si>
    <t>BB</t>
  </si>
  <si>
    <t>BC</t>
  </si>
  <si>
    <t>BD</t>
  </si>
  <si>
    <t>BE</t>
  </si>
  <si>
    <t>BF</t>
  </si>
  <si>
    <t>BG</t>
  </si>
  <si>
    <t>BH</t>
  </si>
  <si>
    <t>BI</t>
  </si>
  <si>
    <t>BJ</t>
  </si>
  <si>
    <t>BK</t>
  </si>
  <si>
    <t>CA</t>
  </si>
  <si>
    <t>CB</t>
  </si>
  <si>
    <t>CC</t>
  </si>
  <si>
    <t>CD</t>
  </si>
  <si>
    <t>CE</t>
  </si>
  <si>
    <t>CF</t>
  </si>
  <si>
    <t>CG</t>
  </si>
  <si>
    <t>CH</t>
  </si>
  <si>
    <t>CI</t>
  </si>
  <si>
    <t>CJ</t>
  </si>
  <si>
    <t>CK</t>
  </si>
  <si>
    <t>DA</t>
  </si>
  <si>
    <t>DB</t>
  </si>
  <si>
    <t>DC</t>
  </si>
  <si>
    <t>DD</t>
  </si>
  <si>
    <t>DE</t>
  </si>
  <si>
    <t>DF</t>
  </si>
  <si>
    <t>DH</t>
  </si>
  <si>
    <t>DI</t>
  </si>
  <si>
    <t>DJ</t>
  </si>
  <si>
    <t>DK</t>
  </si>
  <si>
    <t>Segments</t>
  </si>
  <si>
    <t>Unit cost matrix</t>
  </si>
  <si>
    <t>€ / ((kWh/day)*km)</t>
  </si>
  <si>
    <t>Entry-split</t>
  </si>
  <si>
    <t>TARex</t>
  </si>
  <si>
    <t>TARen</t>
  </si>
  <si>
    <t>VIP</t>
  </si>
  <si>
    <t>AS</t>
  </si>
  <si>
    <t>CAP</t>
  </si>
  <si>
    <t>TAR</t>
  </si>
  <si>
    <t>Units</t>
  </si>
  <si>
    <t>€/[(kWh/d)/year]</t>
  </si>
  <si>
    <t>Revenues/year</t>
  </si>
  <si>
    <t>Transmission tariffs</t>
  </si>
  <si>
    <t>Forecasted contracted capacities</t>
  </si>
  <si>
    <t>T:\COMUM\Tarifas Gás 2018-2019\Estudos\Utilizacao infraestruturas</t>
  </si>
  <si>
    <t>kWh/dia</t>
  </si>
  <si>
    <t>Entradas</t>
  </si>
  <si>
    <t>Terminal GNL</t>
  </si>
  <si>
    <t>Saídas</t>
  </si>
  <si>
    <t>Clientes AP</t>
  </si>
  <si>
    <t>Allowed revenues</t>
  </si>
  <si>
    <t>Allowed revenues/year</t>
  </si>
  <si>
    <t>Distances</t>
  </si>
  <si>
    <t>Graph</t>
  </si>
  <si>
    <t>kWh/d</t>
  </si>
  <si>
    <t>Distance matrix</t>
  </si>
  <si>
    <t>CWD model</t>
  </si>
  <si>
    <t>ADen</t>
  </si>
  <si>
    <t>Wc,en</t>
  </si>
  <si>
    <t>ADex</t>
  </si>
  <si>
    <t>Wc,ex</t>
  </si>
  <si>
    <t>Gráfico</t>
  </si>
  <si>
    <t>Entry split</t>
  </si>
  <si>
    <t>Transmission tariffs (per year)</t>
  </si>
  <si>
    <t>€/[(kWh/day)/year]</t>
  </si>
  <si>
    <t>kWh/day</t>
  </si>
  <si>
    <t>GWh/day</t>
  </si>
  <si>
    <t>Daily consumption peaks</t>
  </si>
  <si>
    <t>Network extension</t>
  </si>
  <si>
    <t>Peak capacity (consumption)</t>
  </si>
  <si>
    <t>€</t>
  </si>
  <si>
    <t>€/((kWh/d).km)</t>
  </si>
  <si>
    <t>Unit cost constant</t>
  </si>
  <si>
    <t>CWD</t>
  </si>
  <si>
    <t>Counterflow</t>
  </si>
  <si>
    <t>Network length</t>
  </si>
  <si>
    <t>Flow matrix</t>
  </si>
  <si>
    <t>W.en</t>
  </si>
  <si>
    <t>W.ex</t>
  </si>
  <si>
    <t>Cost matrix</t>
  </si>
  <si>
    <t>REFen</t>
  </si>
  <si>
    <t>REFex</t>
  </si>
  <si>
    <t>REF</t>
  </si>
  <si>
    <t>Sum of cost matrix</t>
  </si>
  <si>
    <t>Revenue</t>
  </si>
  <si>
    <t>Intra-system</t>
  </si>
  <si>
    <t>Cross-system</t>
  </si>
  <si>
    <t>kWh</t>
  </si>
  <si>
    <t>Capacity cost allocation comparison index</t>
  </si>
  <si>
    <t>Commodity cost allocation comparison index</t>
  </si>
  <si>
    <t>Entry points</t>
  </si>
  <si>
    <t>Exit points</t>
  </si>
  <si>
    <t>Capacity</t>
  </si>
  <si>
    <t>Mensal</t>
  </si>
  <si>
    <t>Armazenamento Subterrâneo</t>
  </si>
  <si>
    <t>Capacidade</t>
  </si>
  <si>
    <t>Energia</t>
  </si>
  <si>
    <t>&lt; 10 000 000 m3/ano</t>
  </si>
  <si>
    <t>≥ 10 000 000 m3/ano</t>
  </si>
  <si>
    <t>1. RPM pre-adjustment prices</t>
  </si>
  <si>
    <t>LNG terminal</t>
  </si>
  <si>
    <t>Underground storage</t>
  </si>
  <si>
    <t>€/(kWh/day) per year</t>
  </si>
  <si>
    <t>Reference Price Methodology</t>
  </si>
  <si>
    <t>Clients</t>
  </si>
  <si>
    <t>2. Adjustment of tariffs (article 9)</t>
  </si>
  <si>
    <t>Discounts at entry and exit points</t>
  </si>
  <si>
    <t>%</t>
  </si>
  <si>
    <t>3. Pre-scaling revenue</t>
  </si>
  <si>
    <t>End-users/ distribution networks</t>
  </si>
  <si>
    <t>Multiplicadores</t>
  </si>
  <si>
    <t>Tariffs</t>
  </si>
  <si>
    <t>€/kWh</t>
  </si>
  <si>
    <t>Commodity</t>
  </si>
  <si>
    <t>Domestic exit points</t>
  </si>
  <si>
    <t>Capacity &amp; Commodity</t>
  </si>
  <si>
    <t>Revenues</t>
  </si>
  <si>
    <t>Quantities</t>
  </si>
  <si>
    <t>Annual</t>
  </si>
  <si>
    <t>Monthly</t>
  </si>
  <si>
    <t>Quarterly</t>
  </si>
  <si>
    <t>Daily</t>
  </si>
  <si>
    <t>Within-day</t>
  </si>
  <si>
    <t>4. Scaling of reference prices</t>
  </si>
  <si>
    <t>Pre-scaling split</t>
  </si>
  <si>
    <t>Scaling factors</t>
  </si>
  <si>
    <t>Scaled reference prices</t>
  </si>
  <si>
    <t>Factor</t>
  </si>
  <si>
    <t>Reference price</t>
  </si>
  <si>
    <t>Transmission tariffs after discounts</t>
  </si>
  <si>
    <t>Pre-scaling</t>
  </si>
  <si>
    <t>Post-scaling</t>
  </si>
  <si>
    <t>Peak capacity (exits), GWh/day</t>
  </si>
  <si>
    <t>Network length, km</t>
  </si>
  <si>
    <t>Invesment annuities (CAPEX)</t>
  </si>
  <si>
    <t>CAPEX annuity (2016), €</t>
  </si>
  <si>
    <t>1. Matriz de custos</t>
  </si>
  <si>
    <t>Matriz de distâncias</t>
  </si>
  <si>
    <t>x</t>
  </si>
  <si>
    <t>Matriz de fluxos</t>
  </si>
  <si>
    <t>Matriz de custos unitários</t>
  </si>
  <si>
    <t>€ / [(kWh/dia) · km]</t>
  </si>
  <si>
    <t>=</t>
  </si>
  <si>
    <t>Matriz de custos</t>
  </si>
  <si>
    <t>2. Preços de referência (pré-ajustamento)</t>
  </si>
  <si>
    <t>&amp;</t>
  </si>
  <si>
    <t>Capacidades previstas (por ponto de entrada/saída)</t>
  </si>
  <si>
    <t>Preços de referência (pré-ajustamento)</t>
  </si>
  <si>
    <t>€ / (kWh/dia) por ano</t>
  </si>
  <si>
    <t>Proveitos permitidos</t>
  </si>
  <si>
    <t>Estrutura detalhada da procura prevista</t>
  </si>
  <si>
    <t>Fatores de escalamento multiplicativos</t>
  </si>
  <si>
    <t>constante</t>
  </si>
  <si>
    <t>Preços de referência (pós-ajustamento)</t>
  </si>
  <si>
    <t>Artigo do código de rede</t>
  </si>
  <si>
    <t>Descrição</t>
  </si>
  <si>
    <t>Informação</t>
  </si>
  <si>
    <t>Art. 30 (1)(b)(i)</t>
  </si>
  <si>
    <t>Proveitos permitidos/previstos</t>
  </si>
  <si>
    <t>Art. 30 (1)(b)(iv)</t>
  </si>
  <si>
    <t>Receitas dos serviços de transporte</t>
  </si>
  <si>
    <t>Art. 30 (1)(b)(v)(1)</t>
  </si>
  <si>
    <t>Divisão capacidade-energia</t>
  </si>
  <si>
    <t>Art. 30 (1)(b)(v)(2)</t>
  </si>
  <si>
    <t>Divisão entrada-saída (nas tarifas de transporte baseadas na capacidade)</t>
  </si>
  <si>
    <t>Art. 30 (1)(b)(v)(3)</t>
  </si>
  <si>
    <t>Divisão transfronteiriço-nacional (calculada nos termos do artigo 5.º)</t>
  </si>
  <si>
    <t>mil €</t>
  </si>
  <si>
    <t>Entrada</t>
  </si>
  <si>
    <t>Saída</t>
  </si>
  <si>
    <t>OPEX as percentage of CAPEX</t>
  </si>
  <si>
    <t>Unit cost constant, €/((kWh/d).km)</t>
  </si>
  <si>
    <t>Unit cost constant &amp; Flow-based charge</t>
  </si>
  <si>
    <t>Flow-based charge</t>
  </si>
  <si>
    <t>OPEX annuity (2016), €</t>
  </si>
  <si>
    <t>Gas flow at exit (2016), GWh</t>
  </si>
  <si>
    <t>Commodity charge</t>
  </si>
  <si>
    <t>Infraestruturas</t>
  </si>
  <si>
    <t>-</t>
  </si>
  <si>
    <t>Reference prices (post adjustment)</t>
  </si>
  <si>
    <t>CWD (50%-50%)</t>
  </si>
  <si>
    <t>Descrição do ponto</t>
  </si>
  <si>
    <t>Capacidade contratada prevista, em MWh/dia</t>
  </si>
  <si>
    <t>Tipo de ponto</t>
  </si>
  <si>
    <t>Armazenamento</t>
  </si>
  <si>
    <t>Divisão de entrada-saída</t>
  </si>
  <si>
    <t>Investimento (CAPEX)</t>
  </si>
  <si>
    <t>3. Preços de referência (pós-ajustamento)</t>
  </si>
  <si>
    <t xml:space="preserve"> </t>
  </si>
  <si>
    <t>€/(kWh/dia) por ano</t>
  </si>
  <si>
    <t>Pontos de entrada</t>
  </si>
  <si>
    <t>Pontos de saída</t>
  </si>
  <si>
    <t>Saídas domésticas</t>
  </si>
  <si>
    <t>Entry-exit split</t>
  </si>
  <si>
    <t>Linhas</t>
  </si>
  <si>
    <t>Ramais, GRMS</t>
  </si>
  <si>
    <t>Investimentos, mil €</t>
  </si>
  <si>
    <t>Nota: Divisão 'entrada-saída' assume a alocação de 50% dos investimentos em linhas para os pontos de entrada e o remanescente nos pontos de saída.</t>
  </si>
  <si>
    <t>Divisão de 'entrada-saída', % (anual)</t>
  </si>
  <si>
    <t>Divisão de 'entrada-saída', % (média desde 1997)</t>
  </si>
  <si>
    <t>Ano</t>
  </si>
  <si>
    <t>Unidade</t>
  </si>
  <si>
    <t>Δ%</t>
  </si>
  <si>
    <t>Capacidade contratada</t>
  </si>
  <si>
    <t>Anual - Capacidade contratada</t>
  </si>
  <si>
    <t>Trimestre - Capacidade contratada</t>
  </si>
  <si>
    <t>Mensal - Capacidade contratada</t>
  </si>
  <si>
    <t>Diário - Capacidade contratada</t>
  </si>
  <si>
    <t>Intradiário - Capacidade contratada</t>
  </si>
  <si>
    <t>VIP (Campo Maior e Valença do Minho)</t>
  </si>
  <si>
    <t>Armazenamento subterrâneo</t>
  </si>
  <si>
    <t>USO DA REDE DE TRANSPORTE (por ponto de entrada)</t>
  </si>
  <si>
    <t>USO DA REDE DE TRANSPORTE
(por ponto de Saída)</t>
  </si>
  <si>
    <t>TARIFA DE USO DA REDE DE TRANSPORTE DOS ORD</t>
  </si>
  <si>
    <t>EUR/(kWh/dia)/dia</t>
  </si>
  <si>
    <t>EUR/(kWh/dia)/mês</t>
  </si>
  <si>
    <t>EUR/(kWh/h)/dia</t>
  </si>
  <si>
    <t>EUR/(kWh/h)/h</t>
  </si>
  <si>
    <t>EUR/kWh</t>
  </si>
  <si>
    <t>Tarifas</t>
  </si>
  <si>
    <t>Opção tarifária</t>
  </si>
  <si>
    <t>Escalão</t>
  </si>
  <si>
    <r>
      <t>(m</t>
    </r>
    <r>
      <rPr>
        <b/>
        <vertAlign val="superscript"/>
        <sz val="10"/>
        <rFont val="Arial"/>
        <family val="2"/>
      </rPr>
      <t>3</t>
    </r>
    <r>
      <rPr>
        <b/>
        <sz val="10"/>
        <rFont val="Arial"/>
        <family val="2"/>
      </rPr>
      <t>/ano)</t>
    </r>
  </si>
  <si>
    <t>Interligações internacionais (Campo Maior e Valença do Minho)</t>
  </si>
  <si>
    <t xml:space="preserve">Capacidade contratada - Produto anual </t>
  </si>
  <si>
    <t xml:space="preserve">Produto anual </t>
  </si>
  <si>
    <t>(EUR/kWh)</t>
  </si>
  <si>
    <t xml:space="preserve">Capacidade contratada - Produto trimestral </t>
  </si>
  <si>
    <t xml:space="preserve">Produto trimestral </t>
  </si>
  <si>
    <r>
      <t>URT</t>
    </r>
    <r>
      <rPr>
        <b/>
        <vertAlign val="subscript"/>
        <sz val="11"/>
        <rFont val="Arial"/>
        <family val="2"/>
      </rPr>
      <t>ORD</t>
    </r>
  </si>
  <si>
    <t xml:space="preserve">Capacidade contratada - Produto mensal </t>
  </si>
  <si>
    <t xml:space="preserve">Produto mensal </t>
  </si>
  <si>
    <t>MP</t>
  </si>
  <si>
    <t>Longas Utilizações</t>
  </si>
  <si>
    <t>&lt; 2 000 000</t>
  </si>
  <si>
    <t xml:space="preserve">Capacidade contratada - Produto diário </t>
  </si>
  <si>
    <t xml:space="preserve">Produto diário </t>
  </si>
  <si>
    <t>≥ 2 000 000</t>
  </si>
  <si>
    <t xml:space="preserve">Capacidade contratada - Produto intradiário </t>
  </si>
  <si>
    <t xml:space="preserve">Produto intradiário </t>
  </si>
  <si>
    <t>Flexível Anual</t>
  </si>
  <si>
    <t>Flexível Mensal</t>
  </si>
  <si>
    <t>Curtas Utilizações</t>
  </si>
  <si>
    <t>≥ 100 001</t>
  </si>
  <si>
    <t>BP&gt;</t>
  </si>
  <si>
    <t>≥ 700 000</t>
  </si>
  <si>
    <t xml:space="preserve">Capacidade contratada - Produto diário                           </t>
  </si>
  <si>
    <t>USO DA REDE DE TRANSPORTE (por ponto de saída)</t>
  </si>
  <si>
    <t>Redes de Distribuição e Clientes em AP</t>
  </si>
  <si>
    <t>Capacidade utilizada (EUR/(kWh/dia)/mês)</t>
  </si>
  <si>
    <r>
      <t>&lt; 10 000 000 m</t>
    </r>
    <r>
      <rPr>
        <vertAlign val="superscript"/>
        <sz val="10"/>
        <rFont val="Arial"/>
        <family val="2"/>
      </rPr>
      <t>3</t>
    </r>
    <r>
      <rPr>
        <sz val="10"/>
        <rFont val="Arial"/>
        <family val="2"/>
      </rPr>
      <t>/ano</t>
    </r>
  </si>
  <si>
    <r>
      <t>≥ 10 000 000 m</t>
    </r>
    <r>
      <rPr>
        <vertAlign val="superscript"/>
        <sz val="10"/>
        <rFont val="Arial"/>
        <family val="2"/>
      </rPr>
      <t>3</t>
    </r>
    <r>
      <rPr>
        <sz val="10"/>
        <rFont val="Arial"/>
        <family val="2"/>
      </rPr>
      <t>/ano</t>
    </r>
  </si>
  <si>
    <t>BP&lt;</t>
  </si>
  <si>
    <t>Outra</t>
  </si>
  <si>
    <t>Escalão 1</t>
  </si>
  <si>
    <t>Energia (EUR/kWh)</t>
  </si>
  <si>
    <t>Escalão 2</t>
  </si>
  <si>
    <t>CAPACIDADE CONTRATADA - PONTOS DE ENTRADA</t>
  </si>
  <si>
    <t>Escalão 3</t>
  </si>
  <si>
    <t>Instalações abastecidas por UAG (propriedade de clientes)</t>
  </si>
  <si>
    <t>Escalão 4</t>
  </si>
  <si>
    <t>Produto trimestral</t>
  </si>
  <si>
    <t>Produto mensal</t>
  </si>
  <si>
    <t>Produto diário</t>
  </si>
  <si>
    <t>Produto intradiário</t>
  </si>
  <si>
    <t>USO DA REDE DE TRANSPORTE - CURTAS UTILIZAÇÕES</t>
  </si>
  <si>
    <t>Clientes em AP</t>
  </si>
  <si>
    <t>Capacidade utilizada saída (EUR/(kWh/dia)/mês)</t>
  </si>
  <si>
    <t>Carriço Armazenagem</t>
  </si>
  <si>
    <t>USO DA REDE DE TRANSPORTE - TARIFA FLEXÍVEL DIÁRIA</t>
  </si>
  <si>
    <t>PREÇOS</t>
  </si>
  <si>
    <t>Capacidade diária (abril a setembro) EUR/(kWh/dia)/dia</t>
  </si>
  <si>
    <t>Capacidade diária (outubro a março) EUR/(kWh/dia)/dia</t>
  </si>
  <si>
    <t>USO DA REDE DE TRANSPORTE - TARIFA FLEXÍVEL MENSAL</t>
  </si>
  <si>
    <t>Capacidade mensal adicional (abril a setembro) EUR/(kWh/dia)/mês</t>
  </si>
  <si>
    <t>Capacidade mensal adicional (outubro a março) EUR/(kWh/dia)/mês</t>
  </si>
  <si>
    <t>USO DA REDE DE TRANSPORTE - TARIFA FLEXÍVEL ANUAL</t>
  </si>
  <si>
    <t>Capacidade base anual EUR/(kWh/dia)/mês</t>
  </si>
  <si>
    <t>Nova metodologia</t>
  </si>
  <si>
    <t>Tarifas 2018-19</t>
  </si>
  <si>
    <t>€/(kWh/dia) por dia</t>
  </si>
  <si>
    <t>€/(kWh/dia) por mês</t>
  </si>
  <si>
    <t>Valores não escalados</t>
  </si>
  <si>
    <r>
      <t>Energia (&lt; 10 000 000 m</t>
    </r>
    <r>
      <rPr>
        <vertAlign val="superscript"/>
        <sz val="11"/>
        <color theme="1"/>
        <rFont val="Calibri"/>
        <family val="2"/>
        <scheme val="minor"/>
      </rPr>
      <t>3</t>
    </r>
    <r>
      <rPr>
        <sz val="11"/>
        <color theme="1"/>
        <rFont val="Calibri"/>
        <family val="2"/>
        <scheme val="minor"/>
      </rPr>
      <t>/ano)</t>
    </r>
  </si>
  <si>
    <r>
      <t>Energia (</t>
    </r>
    <r>
      <rPr>
        <sz val="11"/>
        <color theme="1"/>
        <rFont val="Calibri"/>
        <family val="2"/>
      </rPr>
      <t>≥</t>
    </r>
    <r>
      <rPr>
        <sz val="11"/>
        <color theme="1"/>
        <rFont val="Calibri"/>
        <family val="2"/>
        <scheme val="minor"/>
      </rPr>
      <t xml:space="preserve"> 10 000 000 m</t>
    </r>
    <r>
      <rPr>
        <vertAlign val="superscript"/>
        <sz val="11"/>
        <color theme="1"/>
        <rFont val="Calibri"/>
        <family val="2"/>
        <scheme val="minor"/>
      </rPr>
      <t>3</t>
    </r>
    <r>
      <rPr>
        <sz val="11"/>
        <color theme="1"/>
        <rFont val="Calibri"/>
        <family val="2"/>
        <scheme val="minor"/>
      </rPr>
      <t>/ano)</t>
    </r>
  </si>
  <si>
    <t>Longas utilizações (Redes de Distribuição e Clientes em AP)</t>
  </si>
  <si>
    <t>Curtas utilizações (Clientes em AP)</t>
  </si>
  <si>
    <t>Tarifa flexível anual (Clientes em AP)</t>
  </si>
  <si>
    <t>Tarifa flexível diária (Clientes em AP)</t>
  </si>
  <si>
    <t>Tarifa flexível mensal (Clientes em AP)</t>
  </si>
  <si>
    <t>Capacidade base anual</t>
  </si>
  <si>
    <t>Capacidade mensal adicional (abril a setembro)</t>
  </si>
  <si>
    <t>Capacidade mensal (abril a setembro)</t>
  </si>
  <si>
    <r>
      <t>Capacidade mensal (</t>
    </r>
    <r>
      <rPr>
        <sz val="11"/>
        <color theme="1"/>
        <rFont val="Calibri"/>
        <family val="2"/>
      </rPr>
      <t>outubro a março</t>
    </r>
    <r>
      <rPr>
        <sz val="11"/>
        <color theme="1"/>
        <rFont val="Calibri"/>
        <family val="2"/>
        <scheme val="minor"/>
      </rPr>
      <t>)</t>
    </r>
  </si>
  <si>
    <t>Capacidade diária (abril a setembro)</t>
  </si>
  <si>
    <r>
      <t>Capacidade diária (</t>
    </r>
    <r>
      <rPr>
        <sz val="11"/>
        <color theme="1"/>
        <rFont val="Calibri"/>
        <family val="2"/>
      </rPr>
      <t>outubro a março</t>
    </r>
    <r>
      <rPr>
        <sz val="11"/>
        <color theme="1"/>
        <rFont val="Calibri"/>
        <family val="2"/>
        <scheme val="minor"/>
      </rPr>
      <t>)</t>
    </r>
  </si>
  <si>
    <t>LU</t>
  </si>
  <si>
    <t>CU</t>
  </si>
  <si>
    <t>TF - Anual</t>
  </si>
  <si>
    <t>TF - Mensal</t>
  </si>
  <si>
    <t>TF - Diária</t>
  </si>
  <si>
    <t>Revenues (pre-scaling)</t>
  </si>
  <si>
    <t>Revenues (post-scaling)</t>
  </si>
  <si>
    <t>VIP + GNL + AS</t>
  </si>
  <si>
    <t>VIP (Campo Maior e Valença do Minho), Terminal GNL, Armazenamento subterrâneo</t>
  </si>
  <si>
    <t>Capacidade utilizada (&lt; 10 000 000 m3/ano)</t>
  </si>
  <si>
    <t>Capacidade utilizada (≥ 10 000 000 m3/ano)</t>
  </si>
  <si>
    <t>Divisão de 'entrada-saída'</t>
  </si>
  <si>
    <t>Curtas utiliz./Longas utiliz.</t>
  </si>
  <si>
    <t>* Preço de capacidade igual ao peso dos troços periféricos (Ramais+GRMS) no total do valor alocado às saídas.
* Preço da energia determinado para deixar utilizador com uma modulação de 80 dias indiferente face às longas utilizações.</t>
  </si>
  <si>
    <t>Preço de capacidade nas CU</t>
  </si>
  <si>
    <t>Consumo padrão para determinar os preços das CU</t>
  </si>
  <si>
    <t>dias</t>
  </si>
  <si>
    <t>Modulação (Energia/Capac.)</t>
  </si>
  <si>
    <t>kWh/m3</t>
  </si>
  <si>
    <t>PCS</t>
  </si>
  <si>
    <t>Preços pré-escalamento</t>
  </si>
  <si>
    <t>Teste auxiliar: Curtas vs. Longas utilizações</t>
  </si>
  <si>
    <t>Modulação (dias)</t>
  </si>
  <si>
    <t>Consumo (m3)</t>
  </si>
  <si>
    <t>Longas</t>
  </si>
  <si>
    <t>Curtas</t>
  </si>
  <si>
    <t>OLD MATRIX APPROACH (updated)</t>
  </si>
  <si>
    <t>Poder Calorífico Superior (PCS)</t>
  </si>
  <si>
    <t>Initial network length in 2007, in km</t>
  </si>
  <si>
    <t>Unit cost constant, €/(kWh)</t>
  </si>
  <si>
    <t>Ratio</t>
  </si>
  <si>
    <t>GWh</t>
  </si>
  <si>
    <t>Forecasted energy</t>
  </si>
  <si>
    <t>Average energy per year (average of 2016-2017)</t>
  </si>
  <si>
    <t>Cross-system (exit at VIP)</t>
  </si>
  <si>
    <t>Total system use (exits)</t>
  </si>
  <si>
    <t>Modified CWD</t>
  </si>
  <si>
    <t>Revenue/Driver</t>
  </si>
  <si>
    <t>Historic contracted capacity</t>
  </si>
  <si>
    <t>Source: Information on historic contracted capacities from REN (october-2016 to september-2017)</t>
  </si>
  <si>
    <t>A + B</t>
  </si>
  <si>
    <t>E até K</t>
  </si>
  <si>
    <t>Outras saídas</t>
  </si>
  <si>
    <t>Utilization</t>
  </si>
  <si>
    <t>Número de dias em que saída do VIP tem contratação</t>
  </si>
  <si>
    <t>Driver: capacity</t>
  </si>
  <si>
    <t>Intrasistema</t>
  </si>
  <si>
    <t>Intersistema</t>
  </si>
  <si>
    <t>Receitas (em % do total)</t>
  </si>
  <si>
    <t>Rácio (Receitas/Fator de custo)</t>
  </si>
  <si>
    <t>Índice de comparação da imputação de custos de capacidade (em %)</t>
  </si>
  <si>
    <t>Cost Allocation Assessment - modified CWD</t>
  </si>
  <si>
    <t>Quantity</t>
  </si>
  <si>
    <t>Cross-system revenues</t>
  </si>
  <si>
    <t>€ per year</t>
  </si>
  <si>
    <t>CAA - Capacity</t>
  </si>
  <si>
    <t>CAA - Commodity</t>
  </si>
  <si>
    <t>Driver: commodity</t>
  </si>
  <si>
    <t>Fator de custo (Energia em GWh)</t>
  </si>
  <si>
    <t>Índice de comparação da imputação de custos de energia (em %)</t>
  </si>
  <si>
    <t>Cenário base</t>
  </si>
  <si>
    <t>Cenário alternativo</t>
  </si>
  <si>
    <t>Fator de custo (Capacidade contratada prevista em GWh/dia)</t>
  </si>
  <si>
    <t>* Alternative cenario where cross-system flows are included</t>
  </si>
  <si>
    <t>Transmission revenues</t>
  </si>
  <si>
    <t>Base scenario</t>
  </si>
  <si>
    <t>Alternative scenario</t>
  </si>
  <si>
    <t>Modified cells to include Cross-system use at VIP - Daily products (annual average)</t>
  </si>
  <si>
    <t>Storage</t>
  </si>
  <si>
    <t>Domestic exits</t>
  </si>
  <si>
    <t>modified CWD (40%-60%)</t>
  </si>
  <si>
    <t>Article of network code</t>
  </si>
  <si>
    <t>Description</t>
  </si>
  <si>
    <t>Transmission service revenues</t>
  </si>
  <si>
    <t>Cross-system/ Intra-system split of the transmission services revenue (calculated as set out in Article 5)</t>
  </si>
  <si>
    <t>Capacity-commodity split of the transmission services revenue</t>
  </si>
  <si>
    <t>thousand €</t>
  </si>
  <si>
    <t>Unit</t>
  </si>
  <si>
    <t>Tariffs 2018-19</t>
  </si>
  <si>
    <t>New methodology</t>
  </si>
  <si>
    <t>Annual - Contracted capacity</t>
  </si>
  <si>
    <t>Quarterly - Contracted capacity</t>
  </si>
  <si>
    <t>Monthly - Contracted capacity</t>
  </si>
  <si>
    <t>Daily - Contracted capacity</t>
  </si>
  <si>
    <t>Within-day - Contracted capacity</t>
  </si>
  <si>
    <t>LNG Terminal</t>
  </si>
  <si>
    <t>€/(kWh/d) per day</t>
  </si>
  <si>
    <t>VIP (Campo Maior and Valença do Minho)</t>
  </si>
  <si>
    <t>VIP (Campo Maior and Valença do Minho), LNG Terminal, Underground storage</t>
  </si>
  <si>
    <t>€/(kWh/d) per month</t>
  </si>
  <si>
    <t>Commodity (&lt; 10 000 000 m3/year)</t>
  </si>
  <si>
    <t>Commodity (≥ 10 000 000 m3/year)</t>
  </si>
  <si>
    <t>Used capacity (&lt; 10 000 000 m3/year)</t>
  </si>
  <si>
    <t>Used capacity (≥ 10 000 000 m3/year)</t>
  </si>
  <si>
    <t>Base tariff (Distribution networks and Customers connected to HP)</t>
  </si>
  <si>
    <t>Short uses (Customers connected to HP)</t>
  </si>
  <si>
    <t>Annual flexible tariff (Customers connected to HP)</t>
  </si>
  <si>
    <t>Monthly flexible tariff (Customers connected to HP)</t>
  </si>
  <si>
    <t>Daily flexible tariff (Customers connected to HP)</t>
  </si>
  <si>
    <t>Annual base capacity</t>
  </si>
  <si>
    <t>Monthly additional capacity (april to september)</t>
  </si>
  <si>
    <t>Monthly capacity (april to september)</t>
  </si>
  <si>
    <t>Monthly capacity (october to march)</t>
  </si>
  <si>
    <t>Daily capacity (april to september)</t>
  </si>
  <si>
    <t>Daily capacity (october to march)</t>
  </si>
  <si>
    <t>Revenues (% of aggregate)</t>
  </si>
  <si>
    <t>Driver (Forecasted contracted capacity in GWh/day)</t>
  </si>
  <si>
    <t>Ratio (Revenues/Driver)</t>
  </si>
  <si>
    <t>Driver (Energy in GWh)</t>
  </si>
  <si>
    <t>Commodity cost allocation comparison index (in %)</t>
  </si>
  <si>
    <t>Capacity cost allocation comparison index (in %)</t>
  </si>
  <si>
    <t>Entry-exit split of the transmission services revenue (capacity-based tariffs)</t>
  </si>
  <si>
    <t>Entry-exit split from new RPM (capacity)</t>
  </si>
  <si>
    <t>Entry (capacity)</t>
  </si>
  <si>
    <t>Exit (capacity)</t>
  </si>
  <si>
    <t>Total (capacity)</t>
  </si>
  <si>
    <t>Utilização intersistema</t>
  </si>
  <si>
    <t>Utilização intrasistema</t>
  </si>
  <si>
    <t>Discounts at entry and exit points (article 9)</t>
  </si>
  <si>
    <t>Commodity-based tariffs</t>
  </si>
  <si>
    <t>Segment</t>
  </si>
  <si>
    <t>Distance (km)</t>
  </si>
  <si>
    <t>Total distance</t>
  </si>
  <si>
    <t>Area code of transmission network</t>
  </si>
  <si>
    <t>Transmission - forecasted quantities</t>
  </si>
  <si>
    <t>Simplified tariff model for natural gas transmission tariffs</t>
  </si>
  <si>
    <t>Short uses</t>
  </si>
  <si>
    <t>Numeric field</t>
  </si>
  <si>
    <t>Yellow cells with red numbers represent input fields that can be altered by the user, which will affect the computation of the transmission tariffs.</t>
  </si>
  <si>
    <t>Remark</t>
  </si>
  <si>
    <t>Inputs</t>
  </si>
  <si>
    <t>Worksheet</t>
  </si>
  <si>
    <t>Purpose</t>
  </si>
  <si>
    <t>Presents the transmission tariffs resulting from the inputs introduced by the user. The tariffs are a result of the reference price methodology (capacity-based tariffs) and other adjustments.</t>
  </si>
  <si>
    <t>Modified capacity-weighted distance methodology</t>
  </si>
  <si>
    <t>RPM</t>
  </si>
  <si>
    <t>Reconcile_RPM</t>
  </si>
  <si>
    <t>RPM_vs_CWD</t>
  </si>
  <si>
    <t>CAA_RPM</t>
  </si>
  <si>
    <t>Reconcile_CWD</t>
  </si>
  <si>
    <t>Reconcile_Matrix</t>
  </si>
  <si>
    <t>RPM_vs_CWD_Matrix</t>
  </si>
  <si>
    <t>Transmission tariffs_PT</t>
  </si>
  <si>
    <t>List</t>
  </si>
  <si>
    <t>UCC</t>
  </si>
  <si>
    <t>E-X split</t>
  </si>
  <si>
    <t>Data_a</t>
  </si>
  <si>
    <t>Data_b</t>
  </si>
  <si>
    <t>Data_c</t>
  </si>
  <si>
    <t>Data_d</t>
  </si>
  <si>
    <t>Allows the user of this Excel file to modify the relevant input parameters, such as forecasted gas quantities and the allowed revenues of the transmission system operator. Forecasted gas quantities are differentiated by entry point and exit point, time horizon and tariff option (in the case of customers connected to the High Pressure network).
Numeric fields that can be edited by the user are highlighted in yellow.</t>
  </si>
  <si>
    <t>The transmission tariffs resulting from the new reference price methodology are compared to the tariffs published for the tariff period 2018-2019.</t>
  </si>
  <si>
    <t>Starting from the pre-adjustment prices determined in the worksheet 'RPM', this worksheet determines the post-adjustment reference prices. The adjustments applied are the discounts of article 9 and ensuring the reconciliation with the allowed transmission revenues.</t>
  </si>
  <si>
    <r>
      <t xml:space="preserve">The </t>
    </r>
    <r>
      <rPr>
        <b/>
        <sz val="11"/>
        <color theme="1"/>
        <rFont val="Calibri"/>
        <family val="2"/>
        <scheme val="minor"/>
      </rPr>
      <t>network code on harmonised transmission tariff structures for gas (TAR NC)</t>
    </r>
    <r>
      <rPr>
        <sz val="11"/>
        <color theme="1"/>
        <rFont val="Calibri"/>
        <family val="2"/>
        <scheme val="minor"/>
      </rPr>
      <t xml:space="preserve">, Regulation No 460/2017 of the European Commission, establishes in Article 30(2)(b) the reqirement for a </t>
    </r>
    <r>
      <rPr>
        <b/>
        <sz val="11"/>
        <color theme="1"/>
        <rFont val="Calibri"/>
        <family val="2"/>
        <scheme val="minor"/>
      </rPr>
      <t>simplified tariff model</t>
    </r>
    <r>
      <rPr>
        <sz val="11"/>
        <color theme="1"/>
        <rFont val="Calibri"/>
        <family val="2"/>
        <scheme val="minor"/>
      </rPr>
      <t xml:space="preserve">.
Pursuant to article 26, the national regulatory authority or the transmission system operator(s), as decided by the national regulatory authority, shall conduct a public consultation on the reference price methodology. The </t>
    </r>
    <r>
      <rPr>
        <b/>
        <sz val="11"/>
        <color theme="1"/>
        <rFont val="Calibri"/>
        <family val="2"/>
      </rPr>
      <t>reference price methodology</t>
    </r>
    <r>
      <rPr>
        <sz val="11"/>
        <color theme="1"/>
        <rFont val="Calibri"/>
        <family val="2"/>
        <scheme val="minor"/>
      </rPr>
      <t xml:space="preserve"> </t>
    </r>
    <r>
      <rPr>
        <b/>
        <sz val="11"/>
        <color theme="1"/>
        <rFont val="Calibri"/>
        <family val="2"/>
        <scheme val="minor"/>
      </rPr>
      <t>(RPM)</t>
    </r>
    <r>
      <rPr>
        <sz val="11"/>
        <color theme="1"/>
        <rFont val="Calibri"/>
        <family val="2"/>
        <scheme val="minor"/>
      </rPr>
      <t xml:space="preserve"> is defined as the methodology applied to the part of the transmission services revenue to be recovered from capacity-based transmission tariffs with the aim of deriving reference prices. This Excel file has the purpose of exemplifying the application of the RPM presented in the public consultation. The results presented should be interpreted as indicative and subject to the outcome of the public consultation.
This simplified tariff model calculates the transmission tariffs tariffs according to the RPM proposed in the public consultation. The user of this simplified model can evaluate the changes to the transmission tariffs as a result of changes to the forecasted gas quantities and the allowed revenues of the transmission system operator. Thus, this model complies with the requirement in article 30(2)(b), namely the publication of a "</t>
    </r>
    <r>
      <rPr>
        <i/>
        <sz val="11"/>
        <color theme="1"/>
        <rFont val="Calibri"/>
        <family val="2"/>
        <scheme val="minor"/>
      </rPr>
      <t>... a simplified tariff model, updated regularly, accompanied by the explanation of how to use it, enabling network users to calculate the transmission tariffs applicable for the prevailing tariff period and to estimate their possible evolution beyond such tariff period.</t>
    </r>
    <r>
      <rPr>
        <sz val="11"/>
        <color theme="1"/>
        <rFont val="Calibri"/>
        <family val="2"/>
        <scheme val="minor"/>
      </rPr>
      <t>"
The table below explains the purpose of each worksheet of this Excel file.</t>
    </r>
  </si>
  <si>
    <t>Compares the post-adjustment reference prices from two methodologies, namely the proposed RPM and the capacity-weighted distance (CWD) methodology, as defined under article 8 of the TAR NC.</t>
  </si>
  <si>
    <t>Structure of this Excel file (check the consultation documents for details).</t>
  </si>
  <si>
    <t>Performs the computations inherent to the proposed RPM in order to compute the pre-adjustment reference prices.</t>
  </si>
  <si>
    <t>Performs the cost allocation assessments, required under article 5 of the TAR NC.</t>
  </si>
  <si>
    <t>Performs the computations inherent to the CWD methodology in order to compute the pre-adjustment reference prices.</t>
  </si>
  <si>
    <t>Starting from the pre-adjustment prices determined in the worksheet 'CWD', this worksheet determines the post-adjustment reference prices for the CWD methodology. The adjustments applied are the discounts of article 9 and ensuring the reconciliation with the allowed transmission revenues.</t>
  </si>
  <si>
    <t>Starting from the pre-adjustment prices determined for the Matrix methodology (determined in the other Excel file), this worksheet determines the post-adjustment reference prices for the Matrix methodology. The adjustments applied are the discounts of article 9 and ensuring the reconciliation with the allowed transmission revenues.</t>
  </si>
  <si>
    <t>Compares the post-adjustment reference prices from three methodologies, namely the proposed RPM, the CWD methodology and the Matrix methodology (check the annex of the public consultation for details).</t>
  </si>
  <si>
    <t>Updated on 17 August 2018</t>
  </si>
  <si>
    <t>Auxilliary worksheet - summarizes all applicable transmission tariffs resulting from the RPM and other adjustments (worksheet in Portuguese). Worksheet equivalent to the worksheet 'Transmission tariffs'.</t>
  </si>
  <si>
    <t>Auxilliary worksheet - summarizes the forecasted gas capacities, on an annual basis, that have been used in the RPM and in the CWD methodology.</t>
  </si>
  <si>
    <t>Auxilliary worksheet - computes the distances between the entry points and exit points. This information is used in the RPM and in the CWD methodology.</t>
  </si>
  <si>
    <t>Auxilliary worksheet - computes the unit cost parameters for the RPM and for the commodity-based tariffs.</t>
  </si>
  <si>
    <t>Worksheet containing input data.</t>
  </si>
  <si>
    <t>Distribution networks</t>
  </si>
  <si>
    <t>Customers in HP - base tariff</t>
  </si>
  <si>
    <t>Customers in HP - short uses</t>
  </si>
  <si>
    <t>&lt; 10 000 000 m3/year</t>
  </si>
  <si>
    <t>≥ 10 000 000 m3/year</t>
  </si>
  <si>
    <t>Customers in HP - Flexible daily tariff</t>
  </si>
  <si>
    <t>Customers in HP - Flexible annual tariff</t>
  </si>
  <si>
    <t>Customers in HP - Flexible monthly tariff</t>
  </si>
  <si>
    <t>Installations supplied by UAGs</t>
  </si>
  <si>
    <t>base annual</t>
  </si>
  <si>
    <t>monthly additional</t>
  </si>
  <si>
    <t>april to september</t>
  </si>
  <si>
    <t>october to march</t>
  </si>
  <si>
    <t>LNG</t>
  </si>
  <si>
    <t>€ /((kWh/day)*km)</t>
  </si>
  <si>
    <t>These pre-adjustment prices result from the other Excel file (MatrixModel.xlsx).</t>
  </si>
  <si>
    <t>Matrix (40%-60%)</t>
  </si>
  <si>
    <t>Consumption</t>
  </si>
  <si>
    <t>IP</t>
  </si>
  <si>
    <t>MWh/day</t>
  </si>
  <si>
    <t>Distances for entry-exit combinations</t>
  </si>
  <si>
    <t>Short uses (auxilliary worksheet in Portuguese)</t>
  </si>
  <si>
    <t>Auxilliary worksheet - anazlyzes the entry-exit split based on historic CAPEX data for the transmission network.</t>
  </si>
  <si>
    <t>Input parameters</t>
  </si>
  <si>
    <t>Daily maximum capacities for the years 2016 and 2017, in the transmission network</t>
  </si>
  <si>
    <t>Multipliers</t>
  </si>
  <si>
    <t>Transmission tariffs for tariff period 2018-2019 (portuguese)</t>
  </si>
  <si>
    <t>Investments</t>
  </si>
  <si>
    <t>Underground storage Carriço</t>
  </si>
  <si>
    <t>IP - Campo Maior</t>
  </si>
  <si>
    <t>IP - Valença do Minho</t>
  </si>
  <si>
    <t>Power plants</t>
  </si>
  <si>
    <t>Customers in HP</t>
  </si>
  <si>
    <t>Exit points to end-consumers</t>
  </si>
  <si>
    <t>Flexible daily tariff</t>
  </si>
  <si>
    <t>Flexible annual tariff</t>
  </si>
  <si>
    <t>Flexible monthly tariff</t>
  </si>
  <si>
    <t>Commodity-based price</t>
  </si>
  <si>
    <t>Tariffs for tariff period 2018/2019</t>
  </si>
  <si>
    <t>Infrastructures</t>
  </si>
  <si>
    <t>Relative price structure from tariff period 2018-2019 was used to define the new prices for the consumption thresholds.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</si>
</sst>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 _€_-;\-* #,##0.00\ _€_-;_-* &quot;-&quot;??\ _€_-;_-@_-"/>
    <numFmt numFmtId="164" formatCode="0.0000"/>
    <numFmt numFmtId="165" formatCode="#,##0\ &quot;€&quot;"/>
    <numFmt numFmtId="166" formatCode="0.0"/>
    <numFmt numFmtId="167" formatCode="#,##0.0000"/>
    <numFmt numFmtId="168" formatCode="0.0%"/>
    <numFmt numFmtId="169" formatCode="#,##0.0"/>
    <numFmt numFmtId="170" formatCode="0.00000"/>
    <numFmt numFmtId="171" formatCode="0.000000"/>
    <numFmt numFmtId="172" formatCode="#,##0.00\ &quot;€&quot;"/>
    <numFmt numFmtId="173" formatCode="0.00000000"/>
    <numFmt numFmtId="174" formatCode="###\ ###\ ###\ ###\ ##0"/>
    <numFmt numFmtId="175" formatCode="#,##0.00000000"/>
    <numFmt numFmtId="176" formatCode="0.000"/>
    <numFmt numFmtId="177" formatCode="0.000%"/>
    <numFmt numFmtId="178" formatCode="#,##0.000000"/>
    <numFmt numFmtId="179" formatCode="0.0000000"/>
    <numFmt numFmtId="180" formatCode="#,##0.000"/>
  </numFmts>
  <fonts count="44">
    <font>
      <sz val="11"/>
      <color theme="1"/>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
      <i/>
      <sz val="11"/>
      <name val="Calibri"/>
      <family val="2"/>
      <scheme val="minor"/>
    </font>
    <font>
      <sz val="11"/>
      <color rgb="FFFF0000"/>
      <name val="Calibri"/>
      <family val="2"/>
      <scheme val="minor"/>
    </font>
    <font>
      <i/>
      <sz val="11"/>
      <color theme="1"/>
      <name val="Calibri"/>
      <family val="2"/>
      <scheme val="minor"/>
    </font>
    <font>
      <b/>
      <sz val="11"/>
      <name val="Calibri"/>
      <family val="2"/>
      <scheme val="minor"/>
    </font>
    <font>
      <i/>
      <u/>
      <sz val="11"/>
      <color theme="1"/>
      <name val="Calibri"/>
      <family val="2"/>
      <scheme val="minor"/>
    </font>
    <font>
      <b/>
      <sz val="11"/>
      <color rgb="FF00B050"/>
      <name val="Calibri"/>
      <family val="2"/>
      <scheme val="minor"/>
    </font>
    <font>
      <sz val="11"/>
      <color theme="1"/>
      <name val="Calibri"/>
      <family val="2"/>
      <scheme val="minor"/>
    </font>
    <font>
      <b/>
      <sz val="9"/>
      <color indexed="81"/>
      <name val="Tahoma"/>
      <family val="2"/>
    </font>
    <font>
      <sz val="9"/>
      <color indexed="81"/>
      <name val="Tahoma"/>
      <family val="2"/>
    </font>
    <font>
      <b/>
      <sz val="11"/>
      <color theme="0"/>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name val="Arial"/>
      <family val="2"/>
    </font>
    <font>
      <b/>
      <sz val="10"/>
      <color rgb="FFFF0000"/>
      <name val="Calibri"/>
      <family val="2"/>
      <scheme val="minor"/>
    </font>
    <font>
      <i/>
      <sz val="10"/>
      <color rgb="FF00B050"/>
      <name val="Calibri"/>
      <family val="2"/>
      <scheme val="minor"/>
    </font>
    <font>
      <b/>
      <i/>
      <sz val="10"/>
      <color rgb="FF00B050"/>
      <name val="Calibri"/>
      <family val="2"/>
      <scheme val="minor"/>
    </font>
    <font>
      <b/>
      <sz val="10"/>
      <color rgb="FF00B050"/>
      <name val="Calibri"/>
      <family val="2"/>
      <scheme val="minor"/>
    </font>
    <font>
      <u/>
      <sz val="11"/>
      <color theme="1"/>
      <name val="Calibri"/>
      <family val="2"/>
      <scheme val="minor"/>
    </font>
    <font>
      <sz val="11"/>
      <color theme="1"/>
      <name val="Wingdings"/>
      <charset val="2"/>
    </font>
    <font>
      <sz val="11"/>
      <color theme="1"/>
      <name val="Calibri"/>
      <family val="2"/>
    </font>
    <font>
      <b/>
      <sz val="11"/>
      <color theme="0"/>
      <name val="Calibri"/>
      <family val="2"/>
    </font>
    <font>
      <sz val="10"/>
      <color theme="1"/>
      <name val="Arial"/>
      <family val="2"/>
    </font>
    <font>
      <sz val="10"/>
      <color rgb="FFFF0000"/>
      <name val="Arial"/>
      <family val="2"/>
    </font>
    <font>
      <b/>
      <u/>
      <sz val="10"/>
      <color theme="1"/>
      <name val="Arial"/>
      <family val="2"/>
    </font>
    <font>
      <sz val="10"/>
      <name val="Arial"/>
      <family val="2"/>
    </font>
    <font>
      <b/>
      <sz val="10"/>
      <color indexed="8"/>
      <name val="Arial"/>
      <family val="2"/>
    </font>
    <font>
      <b/>
      <sz val="10"/>
      <name val="Arial"/>
      <family val="2"/>
    </font>
    <font>
      <sz val="11"/>
      <name val="Bodoni Bk BT"/>
    </font>
    <font>
      <b/>
      <vertAlign val="superscript"/>
      <sz val="10"/>
      <name val="Arial"/>
      <family val="2"/>
    </font>
    <font>
      <b/>
      <vertAlign val="subscript"/>
      <sz val="11"/>
      <name val="Arial"/>
      <family val="2"/>
    </font>
    <font>
      <sz val="10"/>
      <color indexed="8"/>
      <name val="Arial"/>
      <family val="2"/>
    </font>
    <font>
      <sz val="8"/>
      <name val="Arial"/>
      <family val="2"/>
    </font>
    <font>
      <vertAlign val="superscript"/>
      <sz val="10"/>
      <name val="Arial"/>
      <family val="2"/>
    </font>
    <font>
      <b/>
      <sz val="10"/>
      <color rgb="FFFF0000"/>
      <name val="Arial"/>
      <family val="2"/>
    </font>
    <font>
      <vertAlign val="superscript"/>
      <sz val="11"/>
      <color theme="1"/>
      <name val="Calibri"/>
      <family val="2"/>
      <scheme val="minor"/>
    </font>
    <font>
      <b/>
      <sz val="11"/>
      <color theme="1"/>
      <name val="Calibri"/>
      <family val="2"/>
    </font>
    <font>
      <u/>
      <sz val="11"/>
      <color theme="10"/>
      <name val="Calibri"/>
      <family val="2"/>
      <scheme val="minor"/>
    </font>
    <font>
      <sz val="11"/>
      <color theme="10"/>
      <name val="Calibri"/>
      <family val="2"/>
      <scheme val="minor"/>
    </font>
    <font>
      <i/>
      <sz val="11"/>
      <color rgb="FF00B05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50"/>
        <bgColor indexed="64"/>
      </patternFill>
    </fill>
    <fill>
      <patternFill patternType="solid">
        <fgColor theme="2"/>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
      <patternFill patternType="solid">
        <fgColor theme="0" tint="-0.34998626667073579"/>
        <bgColor indexed="64"/>
      </patternFill>
    </fill>
    <fill>
      <patternFill patternType="solid">
        <fgColor theme="9"/>
        <bgColor indexed="64"/>
      </patternFill>
    </fill>
    <fill>
      <patternFill patternType="solid">
        <fgColor rgb="FF00B0F0"/>
        <bgColor indexed="64"/>
      </patternFill>
    </fill>
    <fill>
      <patternFill patternType="solid">
        <fgColor theme="0" tint="-0.499984740745262"/>
        <bgColor indexed="64"/>
      </patternFill>
    </fill>
    <fill>
      <patternFill patternType="solid">
        <fgColor theme="7"/>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auto="1"/>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auto="1"/>
      </right>
      <top style="medium">
        <color auto="1"/>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auto="1"/>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top style="medium">
        <color indexed="64"/>
      </top>
      <bottom style="thin">
        <color indexed="64"/>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auto="1"/>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s>
  <cellStyleXfs count="8">
    <xf numFmtId="0" fontId="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29" fillId="0" borderId="0"/>
    <xf numFmtId="0" fontId="29" fillId="0" borderId="0"/>
    <xf numFmtId="0" fontId="32" fillId="0" borderId="0"/>
    <xf numFmtId="0" fontId="41" fillId="0" borderId="0" applyNumberFormat="0" applyFill="0" applyBorder="0" applyAlignment="0" applyProtection="0"/>
  </cellStyleXfs>
  <cellXfs count="697">
    <xf numFmtId="0" fontId="0" fillId="0" borderId="0" xfId="0"/>
    <xf numFmtId="0" fontId="1" fillId="0" borderId="0" xfId="0" applyFont="1"/>
    <xf numFmtId="0" fontId="2" fillId="0" borderId="0" xfId="0" applyFont="1"/>
    <xf numFmtId="0" fontId="1" fillId="2" borderId="0" xfId="0" applyFont="1" applyFill="1" applyAlignment="1">
      <alignment horizontal="center"/>
    </xf>
    <xf numFmtId="0" fontId="3" fillId="0" borderId="0" xfId="0" applyFont="1" applyAlignment="1">
      <alignment horizontal="center"/>
    </xf>
    <xf numFmtId="0" fontId="0" fillId="0" borderId="1" xfId="0" applyBorder="1"/>
    <xf numFmtId="0" fontId="1" fillId="2" borderId="0" xfId="0" applyFont="1" applyFill="1"/>
    <xf numFmtId="14" fontId="4" fillId="0" borderId="0" xfId="0" applyNumberFormat="1" applyFont="1"/>
    <xf numFmtId="0" fontId="1" fillId="0" borderId="2" xfId="0" applyFont="1" applyBorder="1"/>
    <xf numFmtId="0" fontId="0" fillId="0" borderId="3" xfId="0" applyBorder="1"/>
    <xf numFmtId="0" fontId="0" fillId="0" borderId="4" xfId="0" applyBorder="1"/>
    <xf numFmtId="0" fontId="0" fillId="0" borderId="5" xfId="0" applyBorder="1"/>
    <xf numFmtId="0" fontId="1" fillId="3" borderId="0" xfId="0" applyFont="1" applyFill="1"/>
    <xf numFmtId="0" fontId="0" fillId="3" borderId="0" xfId="0" applyFill="1"/>
    <xf numFmtId="0" fontId="0" fillId="5" borderId="1" xfId="0" applyFill="1" applyBorder="1" applyAlignment="1">
      <alignment horizontal="center"/>
    </xf>
    <xf numFmtId="166" fontId="0" fillId="4" borderId="1" xfId="0" applyNumberFormat="1" applyFill="1" applyBorder="1"/>
    <xf numFmtId="166" fontId="0" fillId="0" borderId="1" xfId="0" applyNumberFormat="1" applyFont="1" applyBorder="1" applyAlignment="1">
      <alignment horizontal="center"/>
    </xf>
    <xf numFmtId="14" fontId="7" fillId="3" borderId="0" xfId="0" applyNumberFormat="1" applyFont="1" applyFill="1"/>
    <xf numFmtId="0" fontId="6" fillId="0" borderId="0" xfId="0" applyFont="1"/>
    <xf numFmtId="0" fontId="2" fillId="6" borderId="0" xfId="0" applyFont="1" applyFill="1"/>
    <xf numFmtId="3" fontId="0" fillId="0" borderId="1" xfId="0" applyNumberFormat="1" applyBorder="1"/>
    <xf numFmtId="164" fontId="0" fillId="0" borderId="1" xfId="0" applyNumberFormat="1" applyFont="1" applyBorder="1" applyAlignment="1">
      <alignment horizontal="center"/>
    </xf>
    <xf numFmtId="0" fontId="5" fillId="0" borderId="0" xfId="0" applyFont="1"/>
    <xf numFmtId="0" fontId="8" fillId="0" borderId="0" xfId="0" applyFont="1" applyAlignment="1">
      <alignment horizontal="left"/>
    </xf>
    <xf numFmtId="0" fontId="0" fillId="0" borderId="0" xfId="0" applyFont="1" applyAlignment="1">
      <alignment horizontal="left"/>
    </xf>
    <xf numFmtId="164" fontId="0" fillId="0" borderId="0" xfId="0" applyNumberFormat="1"/>
    <xf numFmtId="164" fontId="1" fillId="7" borderId="1" xfId="0" applyNumberFormat="1" applyFont="1" applyFill="1" applyBorder="1"/>
    <xf numFmtId="0" fontId="0" fillId="0" borderId="10" xfId="0" applyBorder="1"/>
    <xf numFmtId="0" fontId="0" fillId="0" borderId="12" xfId="0" applyBorder="1"/>
    <xf numFmtId="0" fontId="0" fillId="0" borderId="0" xfId="0" applyBorder="1"/>
    <xf numFmtId="0" fontId="0" fillId="0" borderId="15" xfId="0" applyBorder="1"/>
    <xf numFmtId="3" fontId="0" fillId="0" borderId="2" xfId="0" applyNumberFormat="1" applyFont="1" applyBorder="1"/>
    <xf numFmtId="0" fontId="0" fillId="2" borderId="0" xfId="0" applyFill="1"/>
    <xf numFmtId="164" fontId="0" fillId="2" borderId="0" xfId="0" applyNumberFormat="1" applyFill="1"/>
    <xf numFmtId="0" fontId="9" fillId="0" borderId="0" xfId="0" applyFont="1"/>
    <xf numFmtId="3" fontId="2" fillId="0" borderId="0" xfId="0" applyNumberFormat="1" applyFont="1" applyFill="1" applyBorder="1"/>
    <xf numFmtId="3" fontId="1" fillId="0" borderId="0" xfId="0" applyNumberFormat="1" applyFont="1"/>
    <xf numFmtId="0" fontId="0" fillId="0" borderId="8" xfId="0" applyBorder="1"/>
    <xf numFmtId="0" fontId="0" fillId="0" borderId="14" xfId="0" applyBorder="1"/>
    <xf numFmtId="0" fontId="6" fillId="0" borderId="14" xfId="0" applyFont="1" applyBorder="1" applyAlignment="1">
      <alignment horizontal="center"/>
    </xf>
    <xf numFmtId="0" fontId="6" fillId="0" borderId="9" xfId="0" applyFont="1" applyBorder="1" applyAlignment="1">
      <alignment horizontal="center"/>
    </xf>
    <xf numFmtId="0" fontId="1" fillId="2" borderId="10"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11" xfId="0" applyFont="1" applyFill="1" applyBorder="1" applyAlignment="1">
      <alignment horizontal="center"/>
    </xf>
    <xf numFmtId="0" fontId="0" fillId="0" borderId="0" xfId="0" applyBorder="1" applyAlignment="1">
      <alignment horizontal="center"/>
    </xf>
    <xf numFmtId="3" fontId="0" fillId="0" borderId="0" xfId="0" applyNumberFormat="1" applyFont="1" applyBorder="1"/>
    <xf numFmtId="3" fontId="0" fillId="0" borderId="11" xfId="0" applyNumberFormat="1" applyFont="1" applyBorder="1"/>
    <xf numFmtId="3" fontId="0" fillId="0" borderId="16" xfId="0" applyNumberFormat="1" applyFont="1" applyBorder="1"/>
    <xf numFmtId="3" fontId="1" fillId="0" borderId="15" xfId="0" applyNumberFormat="1" applyFont="1" applyBorder="1"/>
    <xf numFmtId="3" fontId="1" fillId="0" borderId="13" xfId="0" applyNumberFormat="1" applyFont="1" applyBorder="1"/>
    <xf numFmtId="3" fontId="0" fillId="0" borderId="0" xfId="0" applyNumberFormat="1"/>
    <xf numFmtId="167" fontId="0" fillId="0" borderId="0" xfId="0" applyNumberFormat="1"/>
    <xf numFmtId="9" fontId="0" fillId="0" borderId="0" xfId="1" applyFont="1"/>
    <xf numFmtId="1" fontId="0" fillId="0" borderId="1" xfId="0" applyNumberFormat="1" applyBorder="1"/>
    <xf numFmtId="9" fontId="0" fillId="0" borderId="1" xfId="1" applyFont="1" applyBorder="1"/>
    <xf numFmtId="9" fontId="0" fillId="0" borderId="1" xfId="1" applyNumberFormat="1" applyFont="1" applyBorder="1"/>
    <xf numFmtId="165" fontId="1" fillId="0" borderId="0" xfId="0" applyNumberFormat="1" applyFont="1" applyFill="1" applyAlignment="1">
      <alignment horizontal="right"/>
    </xf>
    <xf numFmtId="9" fontId="2" fillId="6" borderId="0" xfId="1" applyFont="1" applyFill="1" applyAlignment="1">
      <alignment horizontal="right"/>
    </xf>
    <xf numFmtId="0" fontId="6" fillId="0" borderId="2" xfId="0" applyFont="1" applyBorder="1"/>
    <xf numFmtId="0" fontId="6" fillId="0" borderId="0" xfId="0" applyFont="1" applyBorder="1"/>
    <xf numFmtId="0" fontId="0" fillId="0" borderId="0" xfId="0" applyFont="1" applyBorder="1"/>
    <xf numFmtId="3" fontId="2" fillId="6" borderId="0" xfId="0" applyNumberFormat="1" applyFont="1" applyFill="1"/>
    <xf numFmtId="0" fontId="2" fillId="0" borderId="0" xfId="0" applyFont="1" applyFill="1" applyBorder="1"/>
    <xf numFmtId="3" fontId="0" fillId="0" borderId="0" xfId="0" applyNumberFormat="1" applyFont="1" applyFill="1" applyBorder="1"/>
    <xf numFmtId="169" fontId="0" fillId="0" borderId="0" xfId="0" applyNumberFormat="1" applyFont="1" applyFill="1" applyBorder="1"/>
    <xf numFmtId="0" fontId="0" fillId="0" borderId="0" xfId="0" applyFill="1" applyBorder="1"/>
    <xf numFmtId="0" fontId="0" fillId="0" borderId="15" xfId="0" applyFill="1" applyBorder="1"/>
    <xf numFmtId="3" fontId="0" fillId="0" borderId="1" xfId="0" applyNumberFormat="1" applyFont="1" applyBorder="1" applyAlignment="1">
      <alignment horizontal="center"/>
    </xf>
    <xf numFmtId="9" fontId="0" fillId="0" borderId="1" xfId="1" applyFont="1" applyFill="1" applyBorder="1"/>
    <xf numFmtId="0" fontId="0" fillId="0" borderId="0" xfId="0" applyFill="1"/>
    <xf numFmtId="167" fontId="1" fillId="7" borderId="20" xfId="0" applyNumberFormat="1" applyFont="1" applyFill="1" applyBorder="1"/>
    <xf numFmtId="167" fontId="0" fillId="0" borderId="1" xfId="0" applyNumberFormat="1" applyBorder="1"/>
    <xf numFmtId="164" fontId="0" fillId="0" borderId="1" xfId="0" applyNumberFormat="1" applyFont="1" applyFill="1" applyBorder="1"/>
    <xf numFmtId="0" fontId="1" fillId="0" borderId="1" xfId="0" applyFont="1" applyFill="1" applyBorder="1" applyAlignment="1">
      <alignment horizontal="left"/>
    </xf>
    <xf numFmtId="171" fontId="0" fillId="0" borderId="1" xfId="0" applyNumberFormat="1" applyFont="1" applyFill="1" applyBorder="1"/>
    <xf numFmtId="165" fontId="0" fillId="0" borderId="1" xfId="0" applyNumberFormat="1" applyFont="1" applyFill="1" applyBorder="1"/>
    <xf numFmtId="0" fontId="1" fillId="0" borderId="1" xfId="0" applyFont="1" applyBorder="1"/>
    <xf numFmtId="0" fontId="3" fillId="0" borderId="1" xfId="0" quotePrefix="1" applyFont="1" applyBorder="1"/>
    <xf numFmtId="172" fontId="0" fillId="0" borderId="0" xfId="0" applyNumberFormat="1"/>
    <xf numFmtId="0" fontId="0" fillId="8" borderId="15" xfId="0" applyFill="1" applyBorder="1"/>
    <xf numFmtId="0" fontId="0" fillId="0" borderId="26" xfId="0" applyFill="1" applyBorder="1"/>
    <xf numFmtId="0" fontId="0" fillId="0" borderId="28" xfId="0" applyFill="1" applyBorder="1"/>
    <xf numFmtId="0" fontId="0" fillId="0" borderId="2" xfId="0" applyFill="1" applyBorder="1"/>
    <xf numFmtId="0" fontId="1" fillId="8" borderId="26" xfId="0" applyFont="1" applyFill="1" applyBorder="1"/>
    <xf numFmtId="0" fontId="0" fillId="8" borderId="27" xfId="0" applyFill="1" applyBorder="1"/>
    <xf numFmtId="0" fontId="0" fillId="0" borderId="26" xfId="0" applyBorder="1" applyAlignment="1">
      <alignment horizontal="left" indent="1"/>
    </xf>
    <xf numFmtId="0" fontId="2" fillId="6" borderId="27" xfId="0" applyFont="1" applyFill="1" applyBorder="1"/>
    <xf numFmtId="0" fontId="0" fillId="0" borderId="28" xfId="0" applyBorder="1" applyAlignment="1">
      <alignment horizontal="left" indent="1"/>
    </xf>
    <xf numFmtId="0" fontId="2" fillId="6" borderId="29" xfId="0" applyFont="1" applyFill="1" applyBorder="1"/>
    <xf numFmtId="0" fontId="1" fillId="3" borderId="30" xfId="0" applyFont="1" applyFill="1" applyBorder="1"/>
    <xf numFmtId="0" fontId="0" fillId="8" borderId="0" xfId="0" applyFill="1" applyBorder="1"/>
    <xf numFmtId="0" fontId="1" fillId="0" borderId="0" xfId="0" applyFont="1" applyBorder="1"/>
    <xf numFmtId="3" fontId="0" fillId="0" borderId="27" xfId="0" applyNumberFormat="1" applyFont="1" applyFill="1" applyBorder="1"/>
    <xf numFmtId="0" fontId="1" fillId="8" borderId="30" xfId="0" applyFont="1" applyFill="1" applyBorder="1"/>
    <xf numFmtId="0" fontId="0" fillId="8" borderId="31" xfId="0" applyFill="1" applyBorder="1"/>
    <xf numFmtId="0" fontId="17" fillId="10" borderId="1" xfId="0" applyFont="1" applyFill="1" applyBorder="1" applyAlignment="1">
      <alignment horizontal="center" vertical="center" wrapText="1"/>
    </xf>
    <xf numFmtId="0" fontId="15" fillId="0" borderId="1" xfId="0" applyFont="1" applyBorder="1"/>
    <xf numFmtId="3" fontId="15" fillId="11" borderId="1" xfId="0" applyNumberFormat="1" applyFont="1" applyFill="1" applyBorder="1"/>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11" xfId="0" applyFont="1" applyFill="1" applyBorder="1" applyAlignment="1">
      <alignment horizontal="center" vertical="center" wrapText="1"/>
    </xf>
    <xf numFmtId="3" fontId="18" fillId="6" borderId="1" xfId="0" applyNumberFormat="1" applyFont="1" applyFill="1" applyBorder="1"/>
    <xf numFmtId="0" fontId="18" fillId="6" borderId="1" xfId="0" applyFont="1" applyFill="1" applyBorder="1"/>
    <xf numFmtId="0" fontId="6" fillId="0" borderId="0" xfId="0" applyFont="1" applyAlignment="1">
      <alignment horizontal="left" indent="1"/>
    </xf>
    <xf numFmtId="0" fontId="0" fillId="0" borderId="0" xfId="0" applyAlignment="1">
      <alignment horizontal="left" indent="1"/>
    </xf>
    <xf numFmtId="0" fontId="1" fillId="0" borderId="0" xfId="0" applyFont="1" applyFill="1"/>
    <xf numFmtId="0" fontId="1" fillId="8" borderId="21" xfId="0" applyFont="1" applyFill="1" applyBorder="1"/>
    <xf numFmtId="0" fontId="0" fillId="8" borderId="22" xfId="0" applyFill="1" applyBorder="1"/>
    <xf numFmtId="0" fontId="0" fillId="8" borderId="23" xfId="0" applyFill="1" applyBorder="1"/>
    <xf numFmtId="164" fontId="0" fillId="0" borderId="27" xfId="0" applyNumberFormat="1" applyFill="1" applyBorder="1"/>
    <xf numFmtId="164" fontId="0" fillId="0" borderId="29" xfId="0" applyNumberFormat="1" applyFill="1" applyBorder="1"/>
    <xf numFmtId="0" fontId="0" fillId="0" borderId="24" xfId="0" applyFill="1" applyBorder="1"/>
    <xf numFmtId="164" fontId="0" fillId="0" borderId="25" xfId="0" applyNumberFormat="1" applyFill="1" applyBorder="1"/>
    <xf numFmtId="0" fontId="1" fillId="8" borderId="24" xfId="0" applyFont="1" applyFill="1" applyBorder="1"/>
    <xf numFmtId="9" fontId="0" fillId="0" borderId="1" xfId="0" applyNumberFormat="1" applyFont="1" applyFill="1" applyBorder="1"/>
    <xf numFmtId="0" fontId="6" fillId="8" borderId="25" xfId="0" applyFont="1" applyFill="1" applyBorder="1" applyAlignment="1">
      <alignment horizontal="center"/>
    </xf>
    <xf numFmtId="9" fontId="2" fillId="6" borderId="27" xfId="1" applyFont="1" applyFill="1" applyBorder="1"/>
    <xf numFmtId="9" fontId="2" fillId="6" borderId="25" xfId="1" applyFont="1" applyFill="1" applyBorder="1"/>
    <xf numFmtId="9" fontId="2" fillId="6" borderId="29" xfId="1" applyFont="1" applyFill="1" applyBorder="1"/>
    <xf numFmtId="169" fontId="18" fillId="6" borderId="1" xfId="0" applyNumberFormat="1" applyFont="1" applyFill="1" applyBorder="1"/>
    <xf numFmtId="0" fontId="15" fillId="0" borderId="26" xfId="0" applyFont="1" applyBorder="1"/>
    <xf numFmtId="0" fontId="17" fillId="10" borderId="33" xfId="0" applyFont="1" applyFill="1" applyBorder="1" applyAlignment="1">
      <alignment horizontal="center" vertical="center" wrapText="1"/>
    </xf>
    <xf numFmtId="0" fontId="15" fillId="0" borderId="34" xfId="0" applyFont="1" applyBorder="1"/>
    <xf numFmtId="0" fontId="0" fillId="0" borderId="26" xfId="0" applyBorder="1"/>
    <xf numFmtId="0" fontId="0" fillId="0" borderId="27" xfId="0" applyBorder="1"/>
    <xf numFmtId="0" fontId="15" fillId="0" borderId="35" xfId="0" applyFont="1" applyBorder="1"/>
    <xf numFmtId="3" fontId="15" fillId="11" borderId="18" xfId="0" applyNumberFormat="1" applyFont="1" applyFill="1" applyBorder="1"/>
    <xf numFmtId="0" fontId="0" fillId="0" borderId="29" xfId="0" applyBorder="1"/>
    <xf numFmtId="164" fontId="15" fillId="0" borderId="1" xfId="0" applyNumberFormat="1" applyFont="1" applyFill="1" applyBorder="1"/>
    <xf numFmtId="164" fontId="15" fillId="0" borderId="33" xfId="0" applyNumberFormat="1" applyFont="1" applyFill="1" applyBorder="1"/>
    <xf numFmtId="0" fontId="13" fillId="9" borderId="26" xfId="0" applyFont="1" applyFill="1" applyBorder="1"/>
    <xf numFmtId="0" fontId="14" fillId="9" borderId="0" xfId="0" applyFont="1" applyFill="1" applyBorder="1"/>
    <xf numFmtId="0" fontId="14" fillId="9" borderId="27" xfId="0" applyFont="1" applyFill="1" applyBorder="1"/>
    <xf numFmtId="0" fontId="16" fillId="10" borderId="20" xfId="0" applyFont="1" applyFill="1" applyBorder="1" applyAlignment="1">
      <alignment horizontal="center" vertical="center" wrapText="1"/>
    </xf>
    <xf numFmtId="0" fontId="16" fillId="10" borderId="36" xfId="0" applyFont="1" applyFill="1" applyBorder="1" applyAlignment="1">
      <alignment horizontal="center" vertical="center" wrapText="1"/>
    </xf>
    <xf numFmtId="0" fontId="14" fillId="8" borderId="37" xfId="0" applyFont="1" applyFill="1" applyBorder="1"/>
    <xf numFmtId="0" fontId="14" fillId="8" borderId="31" xfId="0" applyFont="1" applyFill="1" applyBorder="1"/>
    <xf numFmtId="0" fontId="0" fillId="3" borderId="37" xfId="0" applyFill="1" applyBorder="1"/>
    <xf numFmtId="0" fontId="0" fillId="3" borderId="31" xfId="0" applyFill="1" applyBorder="1"/>
    <xf numFmtId="1" fontId="18" fillId="6" borderId="1" xfId="0" applyNumberFormat="1" applyFont="1" applyFill="1" applyBorder="1"/>
    <xf numFmtId="1" fontId="18" fillId="6" borderId="33" xfId="0" applyNumberFormat="1" applyFont="1" applyFill="1" applyBorder="1"/>
    <xf numFmtId="0" fontId="19" fillId="0" borderId="26" xfId="0" applyFont="1" applyBorder="1"/>
    <xf numFmtId="0" fontId="0" fillId="0" borderId="28" xfId="0" applyBorder="1"/>
    <xf numFmtId="0" fontId="0" fillId="0" borderId="2" xfId="0" applyBorder="1"/>
    <xf numFmtId="0" fontId="20" fillId="0" borderId="26" xfId="0" applyFont="1" applyBorder="1"/>
    <xf numFmtId="0" fontId="0" fillId="0" borderId="23" xfId="0" applyBorder="1"/>
    <xf numFmtId="0" fontId="21" fillId="0" borderId="21" xfId="0" applyFont="1" applyBorder="1"/>
    <xf numFmtId="0" fontId="21" fillId="0" borderId="26" xfId="0" applyFont="1" applyBorder="1"/>
    <xf numFmtId="0" fontId="16" fillId="10" borderId="3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6" fillId="10" borderId="40" xfId="0" applyFont="1" applyFill="1" applyBorder="1" applyAlignment="1">
      <alignment horizontal="center" vertical="center" wrapText="1"/>
    </xf>
    <xf numFmtId="0" fontId="1" fillId="3" borderId="37" xfId="0" applyFont="1" applyFill="1" applyBorder="1"/>
    <xf numFmtId="3" fontId="15" fillId="0" borderId="1" xfId="0" applyNumberFormat="1" applyFont="1" applyFill="1" applyBorder="1"/>
    <xf numFmtId="0" fontId="15" fillId="0" borderId="21" xfId="0" applyFont="1" applyBorder="1"/>
    <xf numFmtId="0" fontId="16" fillId="10" borderId="42" xfId="0" applyFont="1" applyFill="1" applyBorder="1" applyAlignment="1">
      <alignment horizontal="center" vertical="center" wrapText="1"/>
    </xf>
    <xf numFmtId="0" fontId="16" fillId="10" borderId="43" xfId="0" applyFont="1" applyFill="1" applyBorder="1" applyAlignment="1">
      <alignment horizontal="center" vertical="center" wrapText="1"/>
    </xf>
    <xf numFmtId="3" fontId="15" fillId="0" borderId="33" xfId="0" applyNumberFormat="1" applyFont="1" applyFill="1" applyBorder="1"/>
    <xf numFmtId="3" fontId="15" fillId="0" borderId="18" xfId="0" applyNumberFormat="1" applyFont="1" applyFill="1" applyBorder="1"/>
    <xf numFmtId="0" fontId="1" fillId="8" borderId="41" xfId="0" applyFont="1" applyFill="1" applyBorder="1"/>
    <xf numFmtId="0" fontId="0" fillId="0" borderId="47" xfId="0" applyBorder="1"/>
    <xf numFmtId="0" fontId="0" fillId="12" borderId="44" xfId="0" applyFill="1" applyBorder="1"/>
    <xf numFmtId="0" fontId="0" fillId="12" borderId="45" xfId="0" applyFill="1" applyBorder="1"/>
    <xf numFmtId="3" fontId="0" fillId="0" borderId="46" xfId="0" applyNumberFormat="1" applyBorder="1"/>
    <xf numFmtId="3" fontId="13" fillId="9" borderId="41" xfId="0" applyNumberFormat="1" applyFont="1" applyFill="1" applyBorder="1"/>
    <xf numFmtId="0" fontId="13" fillId="9" borderId="48" xfId="0" applyFont="1" applyFill="1" applyBorder="1"/>
    <xf numFmtId="0" fontId="15" fillId="0" borderId="49" xfId="0" applyFont="1" applyBorder="1"/>
    <xf numFmtId="0" fontId="15" fillId="0" borderId="50" xfId="0" applyFont="1" applyBorder="1"/>
    <xf numFmtId="2" fontId="15" fillId="0" borderId="36" xfId="0" applyNumberFormat="1" applyFont="1" applyBorder="1"/>
    <xf numFmtId="164" fontId="15" fillId="0" borderId="52" xfId="0" applyNumberFormat="1" applyFont="1" applyBorder="1"/>
    <xf numFmtId="2" fontId="15" fillId="0" borderId="1" xfId="0" applyNumberFormat="1" applyFont="1" applyBorder="1"/>
    <xf numFmtId="2" fontId="15" fillId="0" borderId="42" xfId="0" applyNumberFormat="1" applyFont="1" applyBorder="1"/>
    <xf numFmtId="2" fontId="15" fillId="0" borderId="18" xfId="0" applyNumberFormat="1" applyFont="1" applyBorder="1"/>
    <xf numFmtId="2" fontId="15" fillId="0" borderId="51" xfId="0" applyNumberFormat="1" applyFont="1" applyBorder="1"/>
    <xf numFmtId="2" fontId="15" fillId="0" borderId="20" xfId="0" applyNumberFormat="1" applyFont="1" applyBorder="1"/>
    <xf numFmtId="2" fontId="15" fillId="0" borderId="54" xfId="0" applyNumberFormat="1" applyFont="1" applyBorder="1"/>
    <xf numFmtId="164" fontId="15" fillId="0" borderId="33" xfId="0" applyNumberFormat="1" applyFont="1" applyBorder="1"/>
    <xf numFmtId="0" fontId="20" fillId="0" borderId="21" xfId="0" applyFont="1" applyBorder="1"/>
    <xf numFmtId="0" fontId="1" fillId="3" borderId="21" xfId="0" applyFont="1" applyFill="1" applyBorder="1"/>
    <xf numFmtId="0" fontId="1" fillId="3" borderId="23" xfId="0" applyFont="1" applyFill="1" applyBorder="1"/>
    <xf numFmtId="0" fontId="1" fillId="8" borderId="22" xfId="0" applyFont="1" applyFill="1" applyBorder="1"/>
    <xf numFmtId="0" fontId="1" fillId="8" borderId="28" xfId="0" applyFont="1" applyFill="1" applyBorder="1"/>
    <xf numFmtId="0" fontId="1" fillId="8" borderId="2" xfId="0" applyFont="1" applyFill="1" applyBorder="1"/>
    <xf numFmtId="168" fontId="15" fillId="0" borderId="12" xfId="1" applyNumberFormat="1" applyFont="1" applyBorder="1"/>
    <xf numFmtId="0" fontId="1" fillId="8" borderId="29" xfId="0" applyFont="1" applyFill="1" applyBorder="1"/>
    <xf numFmtId="168" fontId="15" fillId="0" borderId="17" xfId="1" applyNumberFormat="1" applyFont="1" applyBorder="1"/>
    <xf numFmtId="9" fontId="15" fillId="0" borderId="36" xfId="0" applyNumberFormat="1" applyFont="1" applyBorder="1"/>
    <xf numFmtId="9" fontId="15" fillId="0" borderId="52" xfId="0" applyNumberFormat="1" applyFont="1" applyBorder="1"/>
    <xf numFmtId="164" fontId="15" fillId="0" borderId="36" xfId="0" applyNumberFormat="1" applyFont="1" applyBorder="1"/>
    <xf numFmtId="0" fontId="15" fillId="8" borderId="2" xfId="0" applyFont="1" applyFill="1" applyBorder="1"/>
    <xf numFmtId="0" fontId="15" fillId="8" borderId="29" xfId="0" applyFont="1" applyFill="1" applyBorder="1"/>
    <xf numFmtId="0" fontId="15" fillId="8" borderId="2" xfId="0" applyFont="1" applyFill="1" applyBorder="1" applyAlignment="1">
      <alignment horizontal="right"/>
    </xf>
    <xf numFmtId="0" fontId="15" fillId="8" borderId="29" xfId="0" applyFont="1" applyFill="1" applyBorder="1" applyAlignment="1">
      <alignment horizontal="right"/>
    </xf>
    <xf numFmtId="0" fontId="15" fillId="0" borderId="0" xfId="0" applyFont="1" applyFill="1" applyBorder="1"/>
    <xf numFmtId="171" fontId="0" fillId="0" borderId="0" xfId="0" applyNumberFormat="1"/>
    <xf numFmtId="0" fontId="0" fillId="0" borderId="53" xfId="0" applyBorder="1"/>
    <xf numFmtId="3" fontId="1" fillId="0" borderId="43" xfId="0" applyNumberFormat="1" applyFont="1" applyFill="1" applyBorder="1"/>
    <xf numFmtId="0" fontId="0" fillId="0" borderId="34" xfId="0" applyBorder="1"/>
    <xf numFmtId="169" fontId="1" fillId="0" borderId="33" xfId="0" applyNumberFormat="1" applyFont="1" applyFill="1" applyBorder="1"/>
    <xf numFmtId="0" fontId="0" fillId="0" borderId="35" xfId="0" applyBorder="1"/>
    <xf numFmtId="170" fontId="1" fillId="7" borderId="56" xfId="0" applyNumberFormat="1" applyFont="1" applyFill="1" applyBorder="1"/>
    <xf numFmtId="3" fontId="1" fillId="0" borderId="52" xfId="0" applyNumberFormat="1" applyFont="1" applyFill="1" applyBorder="1"/>
    <xf numFmtId="0" fontId="1" fillId="7" borderId="55" xfId="0" applyFont="1" applyFill="1" applyBorder="1"/>
    <xf numFmtId="0" fontId="0" fillId="8" borderId="23" xfId="0" applyFont="1" applyFill="1" applyBorder="1"/>
    <xf numFmtId="164" fontId="0" fillId="0" borderId="1" xfId="0" applyNumberFormat="1" applyBorder="1"/>
    <xf numFmtId="0" fontId="15" fillId="0" borderId="20" xfId="0" applyFont="1" applyBorder="1"/>
    <xf numFmtId="164" fontId="0" fillId="0" borderId="20" xfId="0" applyNumberFormat="1" applyBorder="1"/>
    <xf numFmtId="0" fontId="6" fillId="8" borderId="30" xfId="0" applyFont="1" applyFill="1" applyBorder="1"/>
    <xf numFmtId="0" fontId="0" fillId="8" borderId="37" xfId="0" applyFill="1" applyBorder="1"/>
    <xf numFmtId="0" fontId="1" fillId="8" borderId="37" xfId="0" applyFont="1" applyFill="1" applyBorder="1" applyAlignment="1">
      <alignment horizontal="center"/>
    </xf>
    <xf numFmtId="0" fontId="1" fillId="8" borderId="31" xfId="0" applyFont="1" applyFill="1" applyBorder="1" applyAlignment="1">
      <alignment horizontal="center"/>
    </xf>
    <xf numFmtId="9" fontId="10" fillId="0" borderId="27" xfId="1" applyFont="1" applyFill="1" applyBorder="1"/>
    <xf numFmtId="9" fontId="10" fillId="0" borderId="25" xfId="1" applyFont="1" applyFill="1" applyBorder="1"/>
    <xf numFmtId="9" fontId="10" fillId="0" borderId="29" xfId="1" applyFont="1" applyFill="1" applyBorder="1"/>
    <xf numFmtId="0" fontId="22" fillId="0" borderId="0" xfId="0" applyFont="1" applyBorder="1" applyAlignment="1">
      <alignment horizontal="center"/>
    </xf>
    <xf numFmtId="0" fontId="22" fillId="0" borderId="0" xfId="0" applyFont="1" applyBorder="1" applyAlignment="1">
      <alignment horizontal="left"/>
    </xf>
    <xf numFmtId="0" fontId="0" fillId="3" borderId="37" xfId="0" applyFill="1" applyBorder="1" applyAlignment="1">
      <alignment horizontal="center"/>
    </xf>
    <xf numFmtId="0" fontId="0" fillId="3" borderId="31" xfId="0" applyFill="1" applyBorder="1" applyAlignment="1">
      <alignment horizontal="center"/>
    </xf>
    <xf numFmtId="0" fontId="0" fillId="0" borderId="21" xfId="0" applyFont="1" applyBorder="1" applyAlignment="1">
      <alignment horizontal="center"/>
    </xf>
    <xf numFmtId="0" fontId="0" fillId="0" borderId="40" xfId="0" applyFont="1" applyBorder="1" applyAlignment="1">
      <alignment horizontal="left"/>
    </xf>
    <xf numFmtId="0" fontId="0" fillId="0" borderId="23" xfId="0" applyFont="1" applyBorder="1" applyAlignment="1">
      <alignment horizontal="left" indent="1"/>
    </xf>
    <xf numFmtId="0" fontId="0" fillId="0" borderId="26" xfId="0" applyFont="1" applyBorder="1" applyAlignment="1">
      <alignment horizontal="center"/>
    </xf>
    <xf numFmtId="0" fontId="0" fillId="0" borderId="11" xfId="0" applyFont="1" applyBorder="1" applyAlignment="1">
      <alignment horizontal="left"/>
    </xf>
    <xf numFmtId="0" fontId="0" fillId="0" borderId="27" xfId="0" applyFont="1" applyBorder="1" applyAlignment="1">
      <alignment horizontal="left" indent="1"/>
    </xf>
    <xf numFmtId="0" fontId="1" fillId="8" borderId="30" xfId="0" applyFont="1" applyFill="1" applyBorder="1" applyAlignment="1">
      <alignment horizontal="center"/>
    </xf>
    <xf numFmtId="0" fontId="1" fillId="8" borderId="31" xfId="0" applyFont="1" applyFill="1" applyBorder="1" applyAlignment="1">
      <alignment horizontal="left"/>
    </xf>
    <xf numFmtId="0" fontId="0" fillId="0" borderId="29" xfId="0" applyFont="1" applyFill="1" applyBorder="1" applyAlignment="1">
      <alignment horizontal="left" indent="1"/>
    </xf>
    <xf numFmtId="0" fontId="0" fillId="0" borderId="11" xfId="0" quotePrefix="1" applyFont="1" applyBorder="1" applyAlignment="1">
      <alignment horizontal="left"/>
    </xf>
    <xf numFmtId="0" fontId="1" fillId="8" borderId="57" xfId="0" applyFont="1" applyFill="1" applyBorder="1"/>
    <xf numFmtId="0" fontId="1" fillId="8" borderId="58" xfId="0" applyFont="1" applyFill="1" applyBorder="1"/>
    <xf numFmtId="0" fontId="0" fillId="0" borderId="53" xfId="0" applyBorder="1" applyAlignment="1">
      <alignment horizontal="left" vertical="top" indent="1"/>
    </xf>
    <xf numFmtId="0" fontId="0" fillId="0" borderId="42" xfId="0" applyBorder="1" applyAlignment="1">
      <alignment horizontal="left" vertical="top" indent="1"/>
    </xf>
    <xf numFmtId="0" fontId="0" fillId="0" borderId="34" xfId="0" applyBorder="1" applyAlignment="1">
      <alignment horizontal="left" vertical="top" indent="1"/>
    </xf>
    <xf numFmtId="0" fontId="0" fillId="0" borderId="1" xfId="0" applyBorder="1" applyAlignment="1">
      <alignment horizontal="left" vertical="top" indent="1"/>
    </xf>
    <xf numFmtId="0" fontId="0" fillId="0" borderId="49" xfId="0" applyBorder="1" applyAlignment="1">
      <alignment horizontal="left" vertical="top" indent="1"/>
    </xf>
    <xf numFmtId="0" fontId="1" fillId="8" borderId="37" xfId="0" applyFont="1" applyFill="1" applyBorder="1"/>
    <xf numFmtId="0" fontId="1" fillId="8" borderId="31" xfId="0" applyFont="1" applyFill="1" applyBorder="1"/>
    <xf numFmtId="0" fontId="0" fillId="0" borderId="4" xfId="0" applyBorder="1" applyAlignment="1">
      <alignment horizontal="left" vertical="top" indent="1"/>
    </xf>
    <xf numFmtId="0" fontId="0" fillId="0" borderId="50" xfId="0" applyBorder="1" applyAlignment="1">
      <alignment horizontal="left" vertical="top" indent="1"/>
    </xf>
    <xf numFmtId="0" fontId="0" fillId="0" borderId="32" xfId="0" applyBorder="1" applyAlignment="1">
      <alignment horizontal="left" vertical="top" indent="1"/>
    </xf>
    <xf numFmtId="0" fontId="0" fillId="0" borderId="20" xfId="0" applyBorder="1" applyAlignment="1">
      <alignment horizontal="left" vertical="top" indent="1"/>
    </xf>
    <xf numFmtId="3" fontId="0" fillId="0" borderId="4" xfId="0" applyNumberFormat="1" applyBorder="1" applyAlignment="1">
      <alignment horizontal="center" vertical="top"/>
    </xf>
    <xf numFmtId="0" fontId="0" fillId="0" borderId="3" xfId="0" applyBorder="1" applyAlignment="1">
      <alignment horizontal="left" vertical="top" indent="1"/>
    </xf>
    <xf numFmtId="3" fontId="0" fillId="0" borderId="3" xfId="0" applyNumberFormat="1" applyBorder="1" applyAlignment="1">
      <alignment horizontal="center" vertical="top"/>
    </xf>
    <xf numFmtId="0" fontId="0" fillId="0" borderId="59" xfId="0" applyFont="1" applyBorder="1" applyAlignment="1">
      <alignment horizontal="left" vertical="top" indent="1"/>
    </xf>
    <xf numFmtId="0" fontId="0" fillId="0" borderId="60" xfId="0" applyFont="1" applyBorder="1" applyAlignment="1">
      <alignment horizontal="left" vertical="top" indent="1"/>
    </xf>
    <xf numFmtId="0" fontId="5" fillId="0" borderId="61" xfId="0" applyFont="1" applyBorder="1" applyAlignment="1">
      <alignment horizontal="left" vertical="top" wrapText="1" indent="1"/>
    </xf>
    <xf numFmtId="0" fontId="5" fillId="0" borderId="25" xfId="0" applyFont="1" applyBorder="1" applyAlignment="1">
      <alignment horizontal="left" vertical="top" wrapText="1" indent="1"/>
    </xf>
    <xf numFmtId="0" fontId="0" fillId="0" borderId="55" xfId="0" applyBorder="1"/>
    <xf numFmtId="0" fontId="0" fillId="0" borderId="14" xfId="0" applyBorder="1" applyAlignment="1">
      <alignment horizontal="right" vertical="top" wrapText="1" indent="1"/>
    </xf>
    <xf numFmtId="0" fontId="0" fillId="0" borderId="15" xfId="0" applyBorder="1" applyAlignment="1">
      <alignment horizontal="right" vertical="top" wrapText="1" indent="1"/>
    </xf>
    <xf numFmtId="0" fontId="0" fillId="0" borderId="2" xfId="0" applyFill="1" applyBorder="1" applyAlignment="1">
      <alignment horizontal="right" vertical="top" wrapText="1" indent="1"/>
    </xf>
    <xf numFmtId="0" fontId="0" fillId="0" borderId="30" xfId="0" applyBorder="1"/>
    <xf numFmtId="0" fontId="0" fillId="0" borderId="37" xfId="0" applyBorder="1"/>
    <xf numFmtId="9" fontId="2" fillId="6" borderId="31" xfId="0" applyNumberFormat="1" applyFont="1" applyFill="1" applyBorder="1"/>
    <xf numFmtId="10" fontId="2" fillId="6" borderId="31" xfId="0" applyNumberFormat="1" applyFont="1" applyFill="1" applyBorder="1"/>
    <xf numFmtId="0" fontId="0" fillId="0" borderId="21" xfId="0" applyFont="1" applyBorder="1"/>
    <xf numFmtId="0" fontId="6" fillId="0" borderId="22" xfId="0" applyFont="1" applyBorder="1"/>
    <xf numFmtId="0" fontId="2" fillId="0" borderId="22" xfId="0" applyFont="1" applyFill="1" applyBorder="1"/>
    <xf numFmtId="3" fontId="0" fillId="0" borderId="22" xfId="0" applyNumberFormat="1" applyFont="1" applyFill="1" applyBorder="1"/>
    <xf numFmtId="3" fontId="0" fillId="0" borderId="23" xfId="0" applyNumberFormat="1" applyFont="1" applyFill="1" applyBorder="1"/>
    <xf numFmtId="169" fontId="0" fillId="0" borderId="27" xfId="0" applyNumberFormat="1" applyFont="1" applyFill="1" applyBorder="1"/>
    <xf numFmtId="170" fontId="0" fillId="0" borderId="2" xfId="0" applyNumberFormat="1" applyBorder="1"/>
    <xf numFmtId="170" fontId="0" fillId="0" borderId="29" xfId="0" applyNumberFormat="1" applyBorder="1"/>
    <xf numFmtId="0" fontId="6" fillId="8" borderId="37" xfId="0" applyFont="1" applyFill="1" applyBorder="1"/>
    <xf numFmtId="0" fontId="1" fillId="3" borderId="31" xfId="0" applyFont="1" applyFill="1" applyBorder="1" applyAlignment="1">
      <alignment horizontal="right"/>
    </xf>
    <xf numFmtId="171" fontId="1" fillId="7" borderId="56" xfId="0" applyNumberFormat="1" applyFont="1" applyFill="1" applyBorder="1"/>
    <xf numFmtId="171" fontId="15" fillId="0" borderId="1" xfId="0" applyNumberFormat="1" applyFont="1" applyFill="1" applyBorder="1"/>
    <xf numFmtId="171" fontId="15" fillId="0" borderId="33" xfId="0" applyNumberFormat="1" applyFont="1" applyFill="1" applyBorder="1"/>
    <xf numFmtId="171" fontId="15" fillId="11" borderId="1" xfId="0" applyNumberFormat="1" applyFont="1" applyFill="1" applyBorder="1"/>
    <xf numFmtId="0" fontId="15" fillId="8" borderId="0" xfId="0" applyFont="1" applyFill="1" applyBorder="1"/>
    <xf numFmtId="0" fontId="0" fillId="8" borderId="0" xfId="0" applyFill="1"/>
    <xf numFmtId="0" fontId="1" fillId="8" borderId="23" xfId="0" applyFont="1" applyFill="1" applyBorder="1"/>
    <xf numFmtId="0" fontId="2" fillId="6" borderId="43" xfId="0" applyFont="1" applyFill="1" applyBorder="1"/>
    <xf numFmtId="173" fontId="2" fillId="6" borderId="52" xfId="0" applyNumberFormat="1" applyFont="1" applyFill="1" applyBorder="1"/>
    <xf numFmtId="0" fontId="15" fillId="0" borderId="0" xfId="0" applyFont="1" applyBorder="1"/>
    <xf numFmtId="169" fontId="18" fillId="6" borderId="33" xfId="0" applyNumberFormat="1" applyFont="1" applyFill="1" applyBorder="1"/>
    <xf numFmtId="169" fontId="18" fillId="6" borderId="18" xfId="0" applyNumberFormat="1" applyFont="1" applyFill="1" applyBorder="1"/>
    <xf numFmtId="169" fontId="18" fillId="6" borderId="52" xfId="0" applyNumberFormat="1" applyFont="1" applyFill="1" applyBorder="1"/>
    <xf numFmtId="169" fontId="18" fillId="6" borderId="33" xfId="0" applyNumberFormat="1" applyFont="1" applyFill="1" applyBorder="1" applyAlignment="1">
      <alignment horizontal="center"/>
    </xf>
    <xf numFmtId="0" fontId="16" fillId="10" borderId="62" xfId="0" applyFont="1" applyFill="1" applyBorder="1" applyAlignment="1">
      <alignment horizontal="center" vertical="center" wrapText="1"/>
    </xf>
    <xf numFmtId="0" fontId="17" fillId="10" borderId="36" xfId="0" applyFont="1" applyFill="1" applyBorder="1" applyAlignment="1">
      <alignment horizontal="center" vertical="center" wrapText="1"/>
    </xf>
    <xf numFmtId="168" fontId="0" fillId="0" borderId="15" xfId="0" applyNumberFormat="1" applyBorder="1" applyAlignment="1">
      <alignment horizontal="center" vertical="top"/>
    </xf>
    <xf numFmtId="168" fontId="0" fillId="0" borderId="14" xfId="0" applyNumberFormat="1" applyBorder="1" applyAlignment="1">
      <alignment horizontal="center" vertical="top"/>
    </xf>
    <xf numFmtId="0" fontId="23" fillId="0" borderId="0" xfId="0" applyFont="1"/>
    <xf numFmtId="3" fontId="0" fillId="0" borderId="1" xfId="0" applyNumberFormat="1" applyBorder="1" applyAlignment="1">
      <alignment horizontal="center"/>
    </xf>
    <xf numFmtId="0" fontId="0" fillId="0" borderId="20" xfId="0" applyBorder="1"/>
    <xf numFmtId="3" fontId="0" fillId="0" borderId="20" xfId="0" applyNumberFormat="1" applyBorder="1" applyAlignment="1">
      <alignment horizontal="center"/>
    </xf>
    <xf numFmtId="3" fontId="0" fillId="0" borderId="33" xfId="0" applyNumberFormat="1" applyBorder="1" applyAlignment="1">
      <alignment horizontal="center"/>
    </xf>
    <xf numFmtId="0" fontId="0" fillId="0" borderId="18" xfId="0" applyBorder="1"/>
    <xf numFmtId="3" fontId="0" fillId="0" borderId="18" xfId="0" applyNumberFormat="1" applyBorder="1" applyAlignment="1">
      <alignment horizontal="center"/>
    </xf>
    <xf numFmtId="3" fontId="0" fillId="0" borderId="52" xfId="0" applyNumberFormat="1" applyBorder="1" applyAlignment="1">
      <alignment horizontal="center"/>
    </xf>
    <xf numFmtId="3" fontId="0" fillId="0" borderId="36" xfId="0" applyNumberFormat="1" applyBorder="1" applyAlignment="1">
      <alignment horizontal="center"/>
    </xf>
    <xf numFmtId="0" fontId="0" fillId="0" borderId="49" xfId="0" applyBorder="1"/>
    <xf numFmtId="0" fontId="1" fillId="8" borderId="44" xfId="0" applyFont="1" applyFill="1" applyBorder="1"/>
    <xf numFmtId="0" fontId="1" fillId="8" borderId="48" xfId="0" applyFont="1" applyFill="1" applyBorder="1"/>
    <xf numFmtId="0" fontId="1" fillId="8" borderId="41" xfId="0" applyFont="1" applyFill="1" applyBorder="1" applyAlignment="1">
      <alignment horizontal="center"/>
    </xf>
    <xf numFmtId="0" fontId="0" fillId="8" borderId="45" xfId="0" applyFill="1" applyBorder="1"/>
    <xf numFmtId="0" fontId="0" fillId="8" borderId="48" xfId="0" applyFill="1" applyBorder="1"/>
    <xf numFmtId="169" fontId="0" fillId="0" borderId="1" xfId="0" applyNumberFormat="1" applyBorder="1"/>
    <xf numFmtId="0" fontId="1" fillId="0" borderId="64" xfId="0" applyFont="1" applyBorder="1" applyAlignment="1">
      <alignment horizontal="center"/>
    </xf>
    <xf numFmtId="0" fontId="1" fillId="0" borderId="46" xfId="0" applyFont="1" applyBorder="1" applyAlignment="1">
      <alignment horizontal="center"/>
    </xf>
    <xf numFmtId="0" fontId="1" fillId="0" borderId="47" xfId="0"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0" fontId="1" fillId="0" borderId="63" xfId="0" applyFont="1" applyBorder="1" applyAlignment="1">
      <alignment horizontal="center"/>
    </xf>
    <xf numFmtId="169" fontId="0" fillId="0" borderId="53" xfId="0" applyNumberFormat="1" applyBorder="1"/>
    <xf numFmtId="169" fontId="0" fillId="0" borderId="42" xfId="0" applyNumberFormat="1" applyBorder="1"/>
    <xf numFmtId="169" fontId="0" fillId="0" borderId="43" xfId="0" applyNumberFormat="1" applyBorder="1"/>
    <xf numFmtId="169" fontId="0" fillId="0" borderId="34" xfId="0" applyNumberFormat="1" applyBorder="1"/>
    <xf numFmtId="169" fontId="0" fillId="0" borderId="33" xfId="0" applyNumberFormat="1" applyBorder="1"/>
    <xf numFmtId="169" fontId="0" fillId="0" borderId="35" xfId="0" applyNumberFormat="1" applyBorder="1"/>
    <xf numFmtId="169" fontId="0" fillId="0" borderId="18" xfId="0" applyNumberFormat="1" applyBorder="1"/>
    <xf numFmtId="169" fontId="0" fillId="0" borderId="52" xfId="0" applyNumberFormat="1" applyBorder="1"/>
    <xf numFmtId="0" fontId="6" fillId="0" borderId="0" xfId="0" applyFont="1" applyAlignment="1">
      <alignment horizontal="center"/>
    </xf>
    <xf numFmtId="164" fontId="2" fillId="6" borderId="27" xfId="0" applyNumberFormat="1" applyFont="1" applyFill="1" applyBorder="1"/>
    <xf numFmtId="164" fontId="2" fillId="6" borderId="25" xfId="0" applyNumberFormat="1" applyFont="1" applyFill="1" applyBorder="1"/>
    <xf numFmtId="164" fontId="2" fillId="6" borderId="29" xfId="0" applyNumberFormat="1" applyFont="1" applyFill="1" applyBorder="1"/>
    <xf numFmtId="1" fontId="0" fillId="0" borderId="1" xfId="0" applyNumberFormat="1" applyFont="1" applyBorder="1" applyAlignment="1">
      <alignment horizontal="center"/>
    </xf>
    <xf numFmtId="3" fontId="2" fillId="6" borderId="21" xfId="0" applyNumberFormat="1" applyFont="1" applyFill="1" applyBorder="1"/>
    <xf numFmtId="3" fontId="2" fillId="6" borderId="22" xfId="0" applyNumberFormat="1" applyFont="1" applyFill="1" applyBorder="1"/>
    <xf numFmtId="3" fontId="2" fillId="6" borderId="23" xfId="0" applyNumberFormat="1" applyFont="1" applyFill="1" applyBorder="1"/>
    <xf numFmtId="3" fontId="2" fillId="6" borderId="28" xfId="0" applyNumberFormat="1" applyFont="1" applyFill="1" applyBorder="1"/>
    <xf numFmtId="3" fontId="2" fillId="6" borderId="2" xfId="0" applyNumberFormat="1" applyFont="1" applyFill="1" applyBorder="1"/>
    <xf numFmtId="3" fontId="2" fillId="6" borderId="29" xfId="0" applyNumberFormat="1" applyFont="1" applyFill="1" applyBorder="1"/>
    <xf numFmtId="0" fontId="0" fillId="0" borderId="44" xfId="0" applyBorder="1"/>
    <xf numFmtId="0" fontId="0" fillId="0" borderId="48" xfId="0" applyBorder="1"/>
    <xf numFmtId="0" fontId="1" fillId="0" borderId="21" xfId="0" applyFont="1" applyBorder="1"/>
    <xf numFmtId="0" fontId="10" fillId="0" borderId="68" xfId="2" applyBorder="1"/>
    <xf numFmtId="0" fontId="10" fillId="0" borderId="69" xfId="2" applyBorder="1"/>
    <xf numFmtId="0" fontId="10" fillId="0" borderId="70" xfId="2" applyBorder="1"/>
    <xf numFmtId="3" fontId="0" fillId="0" borderId="71" xfId="0" applyNumberFormat="1" applyBorder="1"/>
    <xf numFmtId="3" fontId="0" fillId="0" borderId="72" xfId="0" applyNumberFormat="1" applyBorder="1"/>
    <xf numFmtId="3" fontId="0" fillId="0" borderId="73" xfId="0" applyNumberFormat="1" applyBorder="1"/>
    <xf numFmtId="3" fontId="0" fillId="0" borderId="74" xfId="0" applyNumberFormat="1" applyBorder="1"/>
    <xf numFmtId="3" fontId="0" fillId="0" borderId="75" xfId="0" applyNumberFormat="1" applyBorder="1"/>
    <xf numFmtId="3" fontId="0" fillId="0" borderId="76" xfId="0" applyNumberFormat="1" applyBorder="1"/>
    <xf numFmtId="0" fontId="0" fillId="0" borderId="68" xfId="0" applyBorder="1"/>
    <xf numFmtId="0" fontId="0" fillId="0" borderId="69" xfId="0" applyBorder="1"/>
    <xf numFmtId="0" fontId="0" fillId="0" borderId="70" xfId="0" applyBorder="1"/>
    <xf numFmtId="168" fontId="0" fillId="0" borderId="71" xfId="1" applyNumberFormat="1" applyFont="1" applyBorder="1"/>
    <xf numFmtId="168" fontId="0" fillId="0" borderId="72" xfId="1" applyNumberFormat="1" applyFont="1" applyBorder="1"/>
    <xf numFmtId="168" fontId="0" fillId="0" borderId="73" xfId="1" applyNumberFormat="1" applyFont="1" applyBorder="1"/>
    <xf numFmtId="168" fontId="0" fillId="0" borderId="74" xfId="1" applyNumberFormat="1" applyFont="1" applyBorder="1"/>
    <xf numFmtId="168" fontId="0" fillId="0" borderId="75" xfId="1" applyNumberFormat="1" applyFont="1" applyBorder="1"/>
    <xf numFmtId="168" fontId="0" fillId="0" borderId="76" xfId="1" applyNumberFormat="1" applyFont="1" applyBorder="1"/>
    <xf numFmtId="0" fontId="6" fillId="0" borderId="26" xfId="0" applyFont="1" applyFill="1" applyBorder="1" applyAlignment="1">
      <alignment horizontal="left"/>
    </xf>
    <xf numFmtId="0" fontId="1" fillId="8" borderId="65" xfId="2" applyFont="1" applyFill="1" applyBorder="1"/>
    <xf numFmtId="0" fontId="1" fillId="8" borderId="66" xfId="2" applyFont="1" applyFill="1" applyBorder="1"/>
    <xf numFmtId="0" fontId="1" fillId="8" borderId="67" xfId="2" applyFont="1" applyFill="1" applyBorder="1"/>
    <xf numFmtId="0" fontId="1" fillId="8" borderId="41" xfId="0" applyFont="1" applyFill="1" applyBorder="1" applyAlignment="1">
      <alignment horizontal="left"/>
    </xf>
    <xf numFmtId="164" fontId="15" fillId="0" borderId="43" xfId="0" applyNumberFormat="1" applyFont="1" applyBorder="1"/>
    <xf numFmtId="0" fontId="24" fillId="0" borderId="0" xfId="0" applyFont="1"/>
    <xf numFmtId="0" fontId="0" fillId="0" borderId="34" xfId="0" applyBorder="1" applyAlignment="1">
      <alignment horizontal="left" indent="1"/>
    </xf>
    <xf numFmtId="0" fontId="0" fillId="0" borderId="35" xfId="0" applyBorder="1" applyAlignment="1">
      <alignment horizontal="left" indent="1"/>
    </xf>
    <xf numFmtId="0" fontId="1" fillId="8" borderId="77" xfId="0" applyFont="1" applyFill="1" applyBorder="1"/>
    <xf numFmtId="0" fontId="0" fillId="8" borderId="3" xfId="0" applyFill="1" applyBorder="1"/>
    <xf numFmtId="0" fontId="24" fillId="8" borderId="59" xfId="0" applyFont="1" applyFill="1" applyBorder="1"/>
    <xf numFmtId="0" fontId="0" fillId="0" borderId="1"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24" fillId="0" borderId="0" xfId="0" applyFont="1" applyAlignment="1">
      <alignment horizontal="center"/>
    </xf>
    <xf numFmtId="0" fontId="26" fillId="13" borderId="0" xfId="0" applyFont="1" applyFill="1"/>
    <xf numFmtId="0" fontId="26" fillId="0" borderId="0" xfId="0" applyFont="1" applyFill="1" applyBorder="1"/>
    <xf numFmtId="0" fontId="27" fillId="13" borderId="0" xfId="0" applyFont="1" applyFill="1"/>
    <xf numFmtId="0" fontId="27" fillId="0" borderId="0" xfId="0" applyFont="1" applyFill="1" applyBorder="1"/>
    <xf numFmtId="0" fontId="28" fillId="13" borderId="0" xfId="0" applyFont="1" applyFill="1" applyAlignment="1">
      <alignment horizontal="left"/>
    </xf>
    <xf numFmtId="0" fontId="28" fillId="0" borderId="0" xfId="0" applyFont="1" applyFill="1" applyBorder="1" applyAlignment="1">
      <alignment horizontal="left"/>
    </xf>
    <xf numFmtId="0" fontId="29" fillId="13" borderId="0" xfId="4" applyFont="1" applyFill="1" applyBorder="1" applyAlignment="1" applyProtection="1">
      <alignment horizontal="left" indent="1"/>
    </xf>
    <xf numFmtId="0" fontId="29" fillId="0" borderId="0" xfId="4" applyFont="1" applyFill="1" applyBorder="1" applyAlignment="1" applyProtection="1">
      <alignment horizontal="left" indent="1"/>
    </xf>
    <xf numFmtId="3" fontId="29" fillId="13" borderId="0" xfId="4" applyNumberFormat="1" applyFont="1" applyFill="1" applyBorder="1" applyAlignment="1" applyProtection="1">
      <alignment horizontal="center"/>
    </xf>
    <xf numFmtId="174" fontId="30" fillId="13" borderId="0" xfId="5" applyNumberFormat="1" applyFont="1" applyFill="1" applyBorder="1" applyAlignment="1" applyProtection="1">
      <alignment horizontal="right" vertical="center" indent="1"/>
      <protection locked="0"/>
    </xf>
    <xf numFmtId="166" fontId="27" fillId="13" borderId="0" xfId="3" applyNumberFormat="1" applyFont="1" applyFill="1"/>
    <xf numFmtId="0" fontId="31" fillId="0" borderId="0" xfId="0" applyFont="1" applyFill="1" applyBorder="1" applyAlignment="1">
      <alignment vertical="center"/>
    </xf>
    <xf numFmtId="0" fontId="26" fillId="0" borderId="0" xfId="0" applyFont="1" applyFill="1"/>
    <xf numFmtId="0" fontId="31" fillId="0" borderId="1" xfId="0" applyFont="1" applyFill="1" applyBorder="1" applyAlignment="1">
      <alignment horizontal="center" vertical="center"/>
    </xf>
    <xf numFmtId="0" fontId="31" fillId="0" borderId="0" xfId="0" applyFont="1" applyFill="1" applyBorder="1" applyAlignment="1">
      <alignment horizontal="center" vertical="center"/>
    </xf>
    <xf numFmtId="0" fontId="31" fillId="13" borderId="1" xfId="0" applyFont="1" applyFill="1" applyBorder="1" applyAlignment="1">
      <alignment horizontal="center" vertical="center"/>
    </xf>
    <xf numFmtId="0" fontId="29" fillId="0" borderId="0" xfId="0" applyFont="1" applyFill="1"/>
    <xf numFmtId="0" fontId="31" fillId="0" borderId="32" xfId="4" applyFont="1" applyFill="1" applyBorder="1" applyAlignment="1" applyProtection="1">
      <alignment horizontal="center" vertical="center" wrapText="1"/>
    </xf>
    <xf numFmtId="0" fontId="31" fillId="13" borderId="0" xfId="0" applyFont="1" applyFill="1" applyBorder="1" applyAlignment="1"/>
    <xf numFmtId="0" fontId="31" fillId="13" borderId="1" xfId="0" applyFont="1" applyFill="1" applyBorder="1" applyAlignment="1"/>
    <xf numFmtId="0" fontId="31" fillId="0" borderId="7" xfId="0" applyFont="1" applyFill="1" applyBorder="1" applyAlignment="1"/>
    <xf numFmtId="0" fontId="31" fillId="0" borderId="4" xfId="0" applyFont="1" applyFill="1" applyBorder="1" applyAlignment="1"/>
    <xf numFmtId="0" fontId="31" fillId="0" borderId="6" xfId="0" applyFont="1" applyFill="1" applyBorder="1" applyAlignment="1"/>
    <xf numFmtId="173" fontId="26" fillId="0" borderId="1" xfId="0" applyNumberFormat="1" applyFont="1" applyFill="1" applyBorder="1"/>
    <xf numFmtId="0" fontId="31" fillId="0" borderId="20" xfId="4" applyFont="1" applyFill="1" applyBorder="1" applyAlignment="1" applyProtection="1">
      <alignment horizontal="center" vertical="center" wrapText="1"/>
    </xf>
    <xf numFmtId="0" fontId="26" fillId="13" borderId="1" xfId="0" applyFont="1" applyFill="1" applyBorder="1" applyAlignment="1"/>
    <xf numFmtId="171" fontId="26" fillId="13" borderId="1" xfId="0" applyNumberFormat="1" applyFont="1" applyFill="1" applyBorder="1"/>
    <xf numFmtId="173" fontId="26" fillId="13" borderId="1" xfId="0" applyNumberFormat="1" applyFont="1" applyFill="1" applyBorder="1"/>
    <xf numFmtId="171" fontId="26" fillId="0" borderId="0" xfId="0" applyNumberFormat="1" applyFont="1" applyFill="1" applyBorder="1"/>
    <xf numFmtId="173" fontId="26" fillId="14" borderId="1" xfId="0" applyNumberFormat="1" applyFont="1" applyFill="1" applyBorder="1"/>
    <xf numFmtId="0" fontId="26" fillId="0" borderId="7" xfId="0" applyFont="1" applyFill="1" applyBorder="1" applyAlignment="1"/>
    <xf numFmtId="171" fontId="26" fillId="0" borderId="1" xfId="0" applyNumberFormat="1" applyFont="1" applyFill="1" applyBorder="1"/>
    <xf numFmtId="0" fontId="31" fillId="0" borderId="0" xfId="0" applyFont="1" applyFill="1" applyBorder="1" applyAlignment="1"/>
    <xf numFmtId="0" fontId="31" fillId="0" borderId="1" xfId="4" applyFont="1" applyFill="1" applyBorder="1" applyAlignment="1" applyProtection="1">
      <alignment horizontal="center"/>
    </xf>
    <xf numFmtId="175" fontId="35" fillId="0" borderId="1" xfId="5" applyNumberFormat="1" applyFont="1" applyFill="1" applyBorder="1" applyAlignment="1" applyProtection="1">
      <alignment horizontal="center" vertical="center"/>
      <protection locked="0"/>
    </xf>
    <xf numFmtId="166" fontId="29" fillId="13" borderId="0" xfId="3" applyNumberFormat="1" applyFont="1" applyFill="1"/>
    <xf numFmtId="173" fontId="26" fillId="0" borderId="0" xfId="0" applyNumberFormat="1" applyFont="1" applyFill="1" applyBorder="1"/>
    <xf numFmtId="176" fontId="27" fillId="13" borderId="0" xfId="3" applyNumberFormat="1" applyFont="1" applyFill="1"/>
    <xf numFmtId="0" fontId="26" fillId="14" borderId="1" xfId="0" applyFont="1" applyFill="1" applyBorder="1" applyAlignment="1"/>
    <xf numFmtId="173" fontId="26" fillId="0" borderId="1" xfId="0" applyNumberFormat="1" applyFont="1" applyFill="1" applyBorder="1" applyAlignment="1"/>
    <xf numFmtId="0" fontId="26" fillId="0" borderId="0" xfId="0" applyFont="1" applyFill="1" applyBorder="1" applyAlignment="1"/>
    <xf numFmtId="177" fontId="27" fillId="13" borderId="0" xfId="1" applyNumberFormat="1" applyFont="1" applyFill="1"/>
    <xf numFmtId="177" fontId="29" fillId="13" borderId="0" xfId="1" applyNumberFormat="1" applyFont="1" applyFill="1"/>
    <xf numFmtId="173" fontId="26" fillId="14" borderId="1" xfId="0" applyNumberFormat="1" applyFont="1" applyFill="1" applyBorder="1" applyAlignment="1"/>
    <xf numFmtId="171" fontId="26" fillId="14" borderId="1" xfId="0" applyNumberFormat="1" applyFont="1" applyFill="1" applyBorder="1" applyAlignment="1"/>
    <xf numFmtId="0" fontId="26" fillId="14" borderId="1" xfId="0" applyFont="1" applyFill="1" applyBorder="1"/>
    <xf numFmtId="0" fontId="31" fillId="0" borderId="7" xfId="4" applyFont="1" applyFill="1" applyBorder="1" applyAlignment="1" applyProtection="1">
      <alignment horizontal="left" indent="1"/>
    </xf>
    <xf numFmtId="0" fontId="31" fillId="0" borderId="4" xfId="4" applyFont="1" applyFill="1" applyBorder="1" applyAlignment="1" applyProtection="1">
      <alignment horizontal="left" indent="1"/>
    </xf>
    <xf numFmtId="0" fontId="31" fillId="0" borderId="6" xfId="4" applyFont="1" applyFill="1" applyBorder="1" applyAlignment="1" applyProtection="1">
      <alignment horizontal="left" indent="1"/>
    </xf>
    <xf numFmtId="0" fontId="29" fillId="0" borderId="7" xfId="0" applyFont="1" applyFill="1" applyBorder="1" applyAlignment="1"/>
    <xf numFmtId="171" fontId="31" fillId="0" borderId="4" xfId="0" applyNumberFormat="1" applyFont="1" applyFill="1" applyBorder="1" applyAlignment="1"/>
    <xf numFmtId="173" fontId="26" fillId="0" borderId="0" xfId="0" applyNumberFormat="1" applyFont="1" applyFill="1" applyBorder="1" applyAlignment="1">
      <alignment vertical="center"/>
    </xf>
    <xf numFmtId="0" fontId="31" fillId="0" borderId="8" xfId="4" applyFont="1" applyFill="1" applyBorder="1" applyAlignment="1" applyProtection="1">
      <alignment horizontal="left" vertical="center" indent="1"/>
    </xf>
    <xf numFmtId="0" fontId="31" fillId="0" borderId="9" xfId="4" applyFont="1" applyFill="1" applyBorder="1" applyAlignment="1" applyProtection="1">
      <alignment vertical="center"/>
    </xf>
    <xf numFmtId="3" fontId="36" fillId="0" borderId="7" xfId="4" applyNumberFormat="1" applyFont="1" applyFill="1" applyBorder="1" applyAlignment="1" applyProtection="1">
      <alignment horizontal="right" indent="1"/>
    </xf>
    <xf numFmtId="3" fontId="36" fillId="0" borderId="4" xfId="4" applyNumberFormat="1" applyFont="1" applyFill="1" applyBorder="1" applyAlignment="1" applyProtection="1">
      <alignment horizontal="center"/>
    </xf>
    <xf numFmtId="3" fontId="36" fillId="0" borderId="6" xfId="4" applyNumberFormat="1" applyFont="1" applyFill="1" applyBorder="1" applyAlignment="1" applyProtection="1">
      <alignment horizontal="right" indent="1"/>
    </xf>
    <xf numFmtId="0" fontId="31" fillId="0" borderId="12" xfId="4" applyFont="1" applyFill="1" applyBorder="1" applyAlignment="1" applyProtection="1">
      <alignment vertical="center"/>
    </xf>
    <xf numFmtId="0" fontId="31" fillId="0" borderId="13" xfId="4" applyFont="1" applyFill="1" applyBorder="1" applyAlignment="1" applyProtection="1">
      <alignment vertical="center"/>
    </xf>
    <xf numFmtId="173" fontId="26" fillId="14" borderId="1" xfId="0" applyNumberFormat="1" applyFont="1" applyFill="1" applyBorder="1" applyAlignment="1">
      <alignment vertical="center"/>
    </xf>
    <xf numFmtId="0" fontId="26" fillId="13" borderId="1" xfId="0" applyFont="1" applyFill="1" applyBorder="1"/>
    <xf numFmtId="173" fontId="26" fillId="0" borderId="1" xfId="0" applyNumberFormat="1" applyFont="1" applyFill="1" applyBorder="1" applyAlignment="1">
      <alignment vertical="center"/>
    </xf>
    <xf numFmtId="0" fontId="31" fillId="0" borderId="1" xfId="0" applyFont="1" applyFill="1" applyBorder="1" applyAlignment="1">
      <alignment horizontal="left"/>
    </xf>
    <xf numFmtId="0" fontId="29" fillId="0" borderId="1" xfId="0" applyFont="1" applyFill="1" applyBorder="1"/>
    <xf numFmtId="171" fontId="26" fillId="0" borderId="1" xfId="0" applyNumberFormat="1" applyFont="1" applyFill="1" applyBorder="1" applyAlignment="1">
      <alignment vertical="center"/>
    </xf>
    <xf numFmtId="0" fontId="31" fillId="0" borderId="0" xfId="4" applyFont="1" applyFill="1" applyBorder="1" applyAlignment="1" applyProtection="1">
      <alignment horizontal="left" vertical="center"/>
    </xf>
    <xf numFmtId="0" fontId="36" fillId="0" borderId="7" xfId="4" applyFont="1" applyFill="1" applyBorder="1" applyAlignment="1" applyProtection="1">
      <alignment horizontal="left" vertical="center" indent="1"/>
    </xf>
    <xf numFmtId="164" fontId="27" fillId="13" borderId="0" xfId="3" applyNumberFormat="1" applyFont="1" applyFill="1"/>
    <xf numFmtId="0" fontId="31" fillId="13" borderId="1" xfId="0" applyFont="1" applyFill="1" applyBorder="1"/>
    <xf numFmtId="0" fontId="31" fillId="13" borderId="1" xfId="0" applyFont="1" applyFill="1" applyBorder="1" applyAlignment="1">
      <alignment horizontal="center"/>
    </xf>
    <xf numFmtId="0" fontId="31" fillId="13" borderId="0" xfId="0" applyFont="1" applyFill="1" applyBorder="1" applyAlignment="1">
      <alignment horizontal="center"/>
    </xf>
    <xf numFmtId="0" fontId="31" fillId="0" borderId="0" xfId="0" applyFont="1" applyFill="1" applyBorder="1" applyAlignment="1">
      <alignment horizontal="center"/>
    </xf>
    <xf numFmtId="0" fontId="31" fillId="13" borderId="0" xfId="0" applyFont="1" applyFill="1" applyBorder="1" applyAlignment="1">
      <alignment horizontal="left"/>
    </xf>
    <xf numFmtId="0" fontId="31" fillId="0" borderId="0" xfId="0" applyFont="1" applyFill="1" applyBorder="1" applyAlignment="1">
      <alignment horizontal="left"/>
    </xf>
    <xf numFmtId="0" fontId="31" fillId="0" borderId="7" xfId="0" applyFont="1" applyFill="1" applyBorder="1" applyAlignment="1">
      <alignment horizontal="left"/>
    </xf>
    <xf numFmtId="0" fontId="31" fillId="0" borderId="4" xfId="0" applyFont="1" applyFill="1" applyBorder="1" applyAlignment="1">
      <alignment horizontal="center"/>
    </xf>
    <xf numFmtId="0" fontId="31" fillId="0" borderId="6" xfId="0" applyFont="1" applyFill="1" applyBorder="1" applyAlignment="1">
      <alignment horizontal="center"/>
    </xf>
    <xf numFmtId="0" fontId="29" fillId="13" borderId="1" xfId="0" applyFont="1" applyFill="1" applyBorder="1" applyAlignment="1">
      <alignment horizontal="left"/>
    </xf>
    <xf numFmtId="166" fontId="26" fillId="13" borderId="1" xfId="0" applyNumberFormat="1" applyFont="1" applyFill="1" applyBorder="1"/>
    <xf numFmtId="166" fontId="26" fillId="13" borderId="0" xfId="0" applyNumberFormat="1" applyFont="1" applyFill="1" applyBorder="1"/>
    <xf numFmtId="166" fontId="26" fillId="0" borderId="0" xfId="0" applyNumberFormat="1" applyFont="1" applyFill="1" applyBorder="1"/>
    <xf numFmtId="0" fontId="26" fillId="0" borderId="1" xfId="0" applyFont="1" applyFill="1" applyBorder="1" applyAlignment="1">
      <alignment horizontal="left" vertical="center"/>
    </xf>
    <xf numFmtId="178" fontId="26" fillId="13" borderId="0" xfId="0" applyNumberFormat="1" applyFont="1" applyFill="1" applyBorder="1"/>
    <xf numFmtId="175" fontId="26" fillId="13" borderId="0" xfId="0" applyNumberFormat="1" applyFont="1" applyFill="1" applyBorder="1"/>
    <xf numFmtId="0" fontId="29" fillId="13" borderId="1" xfId="0" applyFont="1" applyFill="1" applyBorder="1"/>
    <xf numFmtId="178" fontId="26" fillId="13" borderId="1" xfId="0" applyNumberFormat="1" applyFont="1" applyFill="1" applyBorder="1"/>
    <xf numFmtId="175" fontId="26" fillId="13" borderId="1" xfId="0" applyNumberFormat="1" applyFont="1" applyFill="1" applyBorder="1"/>
    <xf numFmtId="0" fontId="26" fillId="0" borderId="0" xfId="0" applyFont="1"/>
    <xf numFmtId="0" fontId="31" fillId="13" borderId="7" xfId="0" applyFont="1" applyFill="1" applyBorder="1" applyAlignment="1">
      <alignment horizontal="left"/>
    </xf>
    <xf numFmtId="0" fontId="31" fillId="13" borderId="6" xfId="0" applyFont="1" applyFill="1" applyBorder="1" applyAlignment="1">
      <alignment horizontal="left"/>
    </xf>
    <xf numFmtId="0" fontId="38" fillId="6" borderId="0" xfId="0" applyFont="1" applyFill="1"/>
    <xf numFmtId="0" fontId="13" fillId="9" borderId="41" xfId="0" applyFont="1" applyFill="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 fillId="8" borderId="64" xfId="0" applyFont="1" applyFill="1" applyBorder="1"/>
    <xf numFmtId="0" fontId="13" fillId="9" borderId="78" xfId="0" applyFont="1" applyFill="1" applyBorder="1" applyAlignment="1">
      <alignment horizontal="center"/>
    </xf>
    <xf numFmtId="0" fontId="13" fillId="9" borderId="79" xfId="0" applyFont="1" applyFill="1" applyBorder="1" applyAlignment="1">
      <alignment horizontal="center"/>
    </xf>
    <xf numFmtId="0" fontId="25" fillId="9" borderId="80" xfId="0" applyFont="1" applyFill="1" applyBorder="1" applyAlignment="1">
      <alignment horizontal="center"/>
    </xf>
    <xf numFmtId="0" fontId="0" fillId="0" borderId="32" xfId="0" applyBorder="1" applyAlignment="1">
      <alignment horizontal="center"/>
    </xf>
    <xf numFmtId="0" fontId="0" fillId="0" borderId="1" xfId="0" applyBorder="1" applyAlignment="1">
      <alignment horizontal="right"/>
    </xf>
    <xf numFmtId="0" fontId="0" fillId="0" borderId="7" xfId="0" applyBorder="1" applyAlignment="1">
      <alignment horizontal="right"/>
    </xf>
    <xf numFmtId="0" fontId="0" fillId="0" borderId="18" xfId="0" applyBorder="1" applyAlignment="1">
      <alignment horizontal="right"/>
    </xf>
    <xf numFmtId="0" fontId="0" fillId="0" borderId="17" xfId="0" applyBorder="1" applyAlignment="1">
      <alignment horizontal="right"/>
    </xf>
    <xf numFmtId="0" fontId="0" fillId="0" borderId="0" xfId="0" applyAlignment="1">
      <alignment horizontal="right"/>
    </xf>
    <xf numFmtId="0" fontId="0" fillId="8" borderId="3" xfId="0" applyFill="1" applyBorder="1" applyAlignment="1">
      <alignment horizontal="right"/>
    </xf>
    <xf numFmtId="0" fontId="0" fillId="0" borderId="32" xfId="0" applyBorder="1" applyAlignment="1">
      <alignment horizontal="right"/>
    </xf>
    <xf numFmtId="0" fontId="0" fillId="0" borderId="8" xfId="0" applyBorder="1" applyAlignment="1">
      <alignment horizontal="right"/>
    </xf>
    <xf numFmtId="0" fontId="0" fillId="0" borderId="46" xfId="0" applyBorder="1" applyAlignment="1">
      <alignment horizontal="right"/>
    </xf>
    <xf numFmtId="0" fontId="0" fillId="0" borderId="81" xfId="0" applyBorder="1" applyAlignment="1">
      <alignment horizontal="right"/>
    </xf>
    <xf numFmtId="0" fontId="0" fillId="0" borderId="47" xfId="0" applyBorder="1" applyAlignment="1">
      <alignment horizontal="right"/>
    </xf>
    <xf numFmtId="9" fontId="0" fillId="0" borderId="33" xfId="1" applyFont="1" applyBorder="1" applyAlignment="1">
      <alignment horizontal="center"/>
    </xf>
    <xf numFmtId="9" fontId="0" fillId="0" borderId="52" xfId="1" applyFont="1" applyBorder="1" applyAlignment="1">
      <alignment horizontal="center"/>
    </xf>
    <xf numFmtId="168" fontId="0" fillId="0" borderId="33" xfId="1" applyNumberFormat="1" applyFont="1" applyBorder="1" applyAlignment="1">
      <alignment horizontal="center"/>
    </xf>
    <xf numFmtId="168" fontId="0" fillId="0" borderId="52" xfId="1" applyNumberFormat="1" applyFont="1" applyBorder="1" applyAlignment="1">
      <alignment horizontal="center"/>
    </xf>
    <xf numFmtId="0" fontId="0" fillId="8" borderId="37" xfId="0" applyFont="1" applyFill="1" applyBorder="1"/>
    <xf numFmtId="0" fontId="0" fillId="8" borderId="31" xfId="0" applyFont="1" applyFill="1" applyBorder="1"/>
    <xf numFmtId="173" fontId="0" fillId="0" borderId="47" xfId="0" applyNumberFormat="1" applyBorder="1" applyAlignment="1">
      <alignment horizontal="center"/>
    </xf>
    <xf numFmtId="173" fontId="0" fillId="0" borderId="47" xfId="0" applyNumberFormat="1" applyBorder="1" applyAlignment="1">
      <alignment horizontal="right"/>
    </xf>
    <xf numFmtId="168" fontId="0" fillId="0" borderId="14" xfId="1" applyNumberFormat="1" applyFont="1" applyBorder="1" applyAlignment="1">
      <alignment horizontal="center" vertical="top" wrapText="1"/>
    </xf>
    <xf numFmtId="168" fontId="0" fillId="0" borderId="2" xfId="1" applyNumberFormat="1" applyFont="1" applyBorder="1" applyAlignment="1">
      <alignment horizontal="center"/>
    </xf>
    <xf numFmtId="0" fontId="1" fillId="0" borderId="30" xfId="0" applyFont="1" applyBorder="1"/>
    <xf numFmtId="0" fontId="0" fillId="0" borderId="31" xfId="0" applyBorder="1"/>
    <xf numFmtId="0" fontId="0" fillId="0" borderId="53" xfId="0" applyBorder="1" applyAlignment="1">
      <alignment horizontal="left" indent="1"/>
    </xf>
    <xf numFmtId="0" fontId="0" fillId="0" borderId="42" xfId="0" applyBorder="1"/>
    <xf numFmtId="9" fontId="2" fillId="6" borderId="43" xfId="0" applyNumberFormat="1" applyFont="1" applyFill="1" applyBorder="1"/>
    <xf numFmtId="9" fontId="2" fillId="6" borderId="33" xfId="0" applyNumberFormat="1" applyFont="1" applyFill="1" applyBorder="1"/>
    <xf numFmtId="9" fontId="2" fillId="6" borderId="52" xfId="0" applyNumberFormat="1" applyFont="1" applyFill="1" applyBorder="1"/>
    <xf numFmtId="0" fontId="2" fillId="0" borderId="21" xfId="0" applyFont="1" applyBorder="1"/>
    <xf numFmtId="0" fontId="0" fillId="0" borderId="22" xfId="0" applyBorder="1"/>
    <xf numFmtId="0" fontId="0" fillId="0" borderId="58" xfId="0" applyBorder="1"/>
    <xf numFmtId="0" fontId="0" fillId="0" borderId="30" xfId="0" applyFill="1" applyBorder="1" applyAlignment="1">
      <alignment horizontal="left" indent="1"/>
    </xf>
    <xf numFmtId="0" fontId="2" fillId="6" borderId="31" xfId="0" applyFont="1" applyFill="1" applyBorder="1"/>
    <xf numFmtId="0" fontId="0" fillId="8" borderId="59" xfId="0" applyFill="1" applyBorder="1"/>
    <xf numFmtId="0" fontId="0" fillId="0" borderId="33" xfId="0" applyBorder="1" applyAlignment="1">
      <alignment horizontal="right"/>
    </xf>
    <xf numFmtId="0" fontId="0" fillId="0" borderId="52" xfId="0" applyBorder="1" applyAlignment="1">
      <alignment horizontal="right"/>
    </xf>
    <xf numFmtId="0" fontId="0" fillId="8" borderId="59" xfId="0" applyFill="1" applyBorder="1" applyAlignment="1">
      <alignment horizontal="right"/>
    </xf>
    <xf numFmtId="173" fontId="0" fillId="0" borderId="52" xfId="0" applyNumberFormat="1" applyBorder="1" applyAlignment="1">
      <alignment horizontal="right"/>
    </xf>
    <xf numFmtId="0" fontId="0" fillId="3" borderId="22" xfId="0" applyFill="1" applyBorder="1"/>
    <xf numFmtId="0" fontId="0" fillId="3" borderId="23" xfId="0" applyFill="1" applyBorder="1"/>
    <xf numFmtId="173" fontId="0" fillId="0" borderId="33" xfId="0" applyNumberFormat="1" applyBorder="1" applyAlignment="1">
      <alignment horizontal="right"/>
    </xf>
    <xf numFmtId="173" fontId="0" fillId="0" borderId="51" xfId="0" applyNumberFormat="1" applyBorder="1" applyAlignment="1">
      <alignment horizontal="right"/>
    </xf>
    <xf numFmtId="0" fontId="0" fillId="0" borderId="57" xfId="0" applyBorder="1" applyAlignment="1">
      <alignment horizontal="left" indent="1"/>
    </xf>
    <xf numFmtId="3" fontId="2" fillId="6" borderId="63" xfId="0" applyNumberFormat="1" applyFont="1" applyFill="1" applyBorder="1"/>
    <xf numFmtId="0" fontId="1" fillId="0" borderId="31" xfId="0" applyFont="1" applyBorder="1"/>
    <xf numFmtId="0" fontId="0" fillId="0" borderId="77" xfId="0" applyBorder="1" applyAlignment="1">
      <alignment horizontal="left"/>
    </xf>
    <xf numFmtId="0" fontId="2" fillId="6" borderId="59" xfId="0" applyFont="1" applyFill="1" applyBorder="1"/>
    <xf numFmtId="0" fontId="0" fillId="0" borderId="82" xfId="0" applyBorder="1" applyAlignment="1">
      <alignment horizontal="left"/>
    </xf>
    <xf numFmtId="2" fontId="2" fillId="6" borderId="60" xfId="0" applyNumberFormat="1" applyFont="1" applyFill="1" applyBorder="1"/>
    <xf numFmtId="0" fontId="2" fillId="6" borderId="60" xfId="0" applyFont="1" applyFill="1" applyBorder="1"/>
    <xf numFmtId="166" fontId="2" fillId="6" borderId="60" xfId="0" applyNumberFormat="1" applyFont="1" applyFill="1" applyBorder="1"/>
    <xf numFmtId="0" fontId="0" fillId="0" borderId="83" xfId="0" applyBorder="1" applyAlignment="1">
      <alignment horizontal="left"/>
    </xf>
    <xf numFmtId="0" fontId="2" fillId="6" borderId="84" xfId="0" applyFont="1" applyFill="1" applyBorder="1"/>
    <xf numFmtId="165" fontId="2" fillId="6" borderId="31" xfId="0" applyNumberFormat="1" applyFont="1" applyFill="1" applyBorder="1"/>
    <xf numFmtId="0" fontId="6" fillId="8" borderId="23" xfId="0" applyFont="1" applyFill="1" applyBorder="1" applyAlignment="1">
      <alignment horizontal="right"/>
    </xf>
    <xf numFmtId="3" fontId="2" fillId="6" borderId="27" xfId="0" applyNumberFormat="1" applyFont="1" applyFill="1" applyBorder="1"/>
    <xf numFmtId="0" fontId="16" fillId="8" borderId="0" xfId="0" applyFont="1" applyFill="1" applyBorder="1"/>
    <xf numFmtId="0" fontId="1" fillId="8" borderId="30" xfId="2" applyFont="1" applyFill="1" applyBorder="1" applyAlignment="1">
      <alignment horizontal="center"/>
    </xf>
    <xf numFmtId="0" fontId="1" fillId="8" borderId="37" xfId="2" applyFont="1" applyFill="1" applyBorder="1" applyAlignment="1">
      <alignment horizontal="center"/>
    </xf>
    <xf numFmtId="0" fontId="1" fillId="8" borderId="31" xfId="2" applyFont="1" applyFill="1" applyBorder="1" applyAlignment="1">
      <alignment horizontal="center"/>
    </xf>
    <xf numFmtId="0" fontId="0" fillId="0" borderId="26" xfId="0" applyFont="1" applyBorder="1"/>
    <xf numFmtId="0" fontId="2" fillId="6" borderId="0" xfId="0" applyFont="1" applyFill="1" applyBorder="1"/>
    <xf numFmtId="0" fontId="2" fillId="6" borderId="2" xfId="0" applyFont="1" applyFill="1" applyBorder="1"/>
    <xf numFmtId="0" fontId="2" fillId="12" borderId="2" xfId="0" applyFont="1" applyFill="1" applyBorder="1"/>
    <xf numFmtId="0" fontId="0" fillId="0" borderId="57" xfId="0" applyBorder="1"/>
    <xf numFmtId="1" fontId="0" fillId="0" borderId="1" xfId="0" applyNumberFormat="1" applyFont="1" applyFill="1" applyBorder="1"/>
    <xf numFmtId="0" fontId="6" fillId="0" borderId="57" xfId="0" quotePrefix="1" applyFont="1" applyBorder="1"/>
    <xf numFmtId="176" fontId="2" fillId="6" borderId="63" xfId="0" applyNumberFormat="1" applyFont="1" applyFill="1" applyBorder="1"/>
    <xf numFmtId="0" fontId="1" fillId="8" borderId="0" xfId="0" applyFont="1" applyFill="1" applyBorder="1"/>
    <xf numFmtId="0" fontId="0" fillId="0" borderId="0" xfId="0" applyBorder="1" applyAlignment="1">
      <alignment horizontal="left"/>
    </xf>
    <xf numFmtId="0" fontId="0" fillId="0" borderId="2" xfId="0" applyBorder="1" applyAlignment="1">
      <alignment horizontal="left"/>
    </xf>
    <xf numFmtId="170" fontId="0" fillId="0" borderId="27" xfId="1" applyNumberFormat="1" applyFont="1" applyFill="1" applyBorder="1"/>
    <xf numFmtId="168" fontId="1" fillId="3" borderId="31" xfId="1" applyNumberFormat="1" applyFont="1" applyFill="1" applyBorder="1"/>
    <xf numFmtId="4" fontId="0" fillId="0" borderId="27" xfId="0" applyNumberFormat="1" applyFont="1" applyFill="1" applyBorder="1"/>
    <xf numFmtId="0" fontId="0" fillId="0" borderId="53" xfId="0" applyFont="1" applyBorder="1"/>
    <xf numFmtId="0" fontId="0" fillId="0" borderId="35" xfId="0" applyFont="1" applyFill="1" applyBorder="1"/>
    <xf numFmtId="3" fontId="2" fillId="6" borderId="52" xfId="0" applyNumberFormat="1" applyFont="1" applyFill="1" applyBorder="1"/>
    <xf numFmtId="3" fontId="2" fillId="6" borderId="43" xfId="0" applyNumberFormat="1" applyFont="1" applyFill="1" applyBorder="1"/>
    <xf numFmtId="0" fontId="1" fillId="15" borderId="41" xfId="0" applyFont="1" applyFill="1" applyBorder="1" applyAlignment="1">
      <alignment horizontal="center"/>
    </xf>
    <xf numFmtId="0" fontId="13" fillId="9" borderId="30" xfId="0" applyFont="1" applyFill="1" applyBorder="1"/>
    <xf numFmtId="0" fontId="0" fillId="9" borderId="37" xfId="0" applyFill="1" applyBorder="1"/>
    <xf numFmtId="0" fontId="0" fillId="9" borderId="31" xfId="0" applyFill="1" applyBorder="1"/>
    <xf numFmtId="0" fontId="1" fillId="3" borderId="31" xfId="0" applyFont="1" applyFill="1" applyBorder="1" applyAlignment="1">
      <alignment horizontal="center"/>
    </xf>
    <xf numFmtId="4" fontId="0" fillId="0" borderId="0" xfId="0" applyNumberFormat="1" applyFont="1" applyFill="1" applyBorder="1"/>
    <xf numFmtId="170" fontId="0" fillId="0" borderId="0" xfId="1" applyNumberFormat="1" applyFont="1" applyFill="1" applyBorder="1"/>
    <xf numFmtId="170" fontId="0" fillId="0" borderId="29" xfId="1" applyNumberFormat="1" applyFont="1" applyFill="1" applyBorder="1"/>
    <xf numFmtId="168" fontId="1" fillId="3" borderId="37" xfId="1" applyNumberFormat="1" applyFont="1" applyFill="1" applyBorder="1"/>
    <xf numFmtId="3" fontId="1" fillId="0" borderId="37" xfId="0" applyNumberFormat="1" applyFont="1" applyBorder="1"/>
    <xf numFmtId="3" fontId="1" fillId="0" borderId="31" xfId="0" applyNumberFormat="1" applyFont="1" applyBorder="1"/>
    <xf numFmtId="170" fontId="0" fillId="0" borderId="2" xfId="1" applyNumberFormat="1" applyFont="1" applyFill="1" applyBorder="1" applyAlignment="1">
      <alignment horizontal="center"/>
    </xf>
    <xf numFmtId="0" fontId="1" fillId="2" borderId="21" xfId="0" applyFont="1" applyFill="1" applyBorder="1"/>
    <xf numFmtId="0" fontId="0" fillId="2" borderId="22" xfId="0" applyFill="1" applyBorder="1"/>
    <xf numFmtId="0" fontId="0" fillId="2" borderId="23" xfId="0" applyFill="1" applyBorder="1" applyAlignment="1">
      <alignment horizontal="center"/>
    </xf>
    <xf numFmtId="177" fontId="0" fillId="0" borderId="27" xfId="1" applyNumberFormat="1" applyFont="1" applyFill="1" applyBorder="1"/>
    <xf numFmtId="177" fontId="0" fillId="0" borderId="0" xfId="1" applyNumberFormat="1" applyFont="1" applyFill="1" applyBorder="1"/>
    <xf numFmtId="0" fontId="1" fillId="8" borderId="85" xfId="0" applyFont="1" applyFill="1" applyBorder="1"/>
    <xf numFmtId="0" fontId="0" fillId="8" borderId="86" xfId="0" applyFill="1" applyBorder="1"/>
    <xf numFmtId="0" fontId="0" fillId="8" borderId="87" xfId="0" applyFill="1" applyBorder="1"/>
    <xf numFmtId="0" fontId="0" fillId="0" borderId="88" xfId="0" applyBorder="1" applyAlignment="1">
      <alignment horizontal="left" indent="1"/>
    </xf>
    <xf numFmtId="177" fontId="0" fillId="0" borderId="89" xfId="1" applyNumberFormat="1" applyFont="1" applyFill="1" applyBorder="1"/>
    <xf numFmtId="177" fontId="0" fillId="0" borderId="90" xfId="1" applyNumberFormat="1" applyFont="1" applyFill="1" applyBorder="1"/>
    <xf numFmtId="0" fontId="1" fillId="8" borderId="88" xfId="0" applyFont="1" applyFill="1" applyBorder="1"/>
    <xf numFmtId="0" fontId="0" fillId="8" borderId="89" xfId="0" applyFill="1" applyBorder="1"/>
    <xf numFmtId="0" fontId="0" fillId="8" borderId="90" xfId="0" applyFill="1" applyBorder="1"/>
    <xf numFmtId="4" fontId="0" fillId="0" borderId="89" xfId="0" applyNumberFormat="1" applyFont="1" applyFill="1" applyBorder="1"/>
    <xf numFmtId="4" fontId="0" fillId="0" borderId="90" xfId="0" applyNumberFormat="1" applyFont="1" applyFill="1" applyBorder="1"/>
    <xf numFmtId="170" fontId="0" fillId="0" borderId="89" xfId="1" applyNumberFormat="1" applyFont="1" applyFill="1" applyBorder="1"/>
    <xf numFmtId="170" fontId="0" fillId="0" borderId="90" xfId="1" applyNumberFormat="1" applyFont="1" applyFill="1" applyBorder="1"/>
    <xf numFmtId="0" fontId="0" fillId="0" borderId="91" xfId="0" applyBorder="1" applyAlignment="1">
      <alignment horizontal="left" indent="1"/>
    </xf>
    <xf numFmtId="170" fontId="0" fillId="0" borderId="92" xfId="1" applyNumberFormat="1" applyFont="1" applyFill="1" applyBorder="1" applyAlignment="1">
      <alignment horizontal="center"/>
    </xf>
    <xf numFmtId="170" fontId="0" fillId="0" borderId="93" xfId="1" applyNumberFormat="1" applyFont="1" applyFill="1" applyBorder="1"/>
    <xf numFmtId="0" fontId="1" fillId="3" borderId="94" xfId="0" applyFont="1" applyFill="1" applyBorder="1"/>
    <xf numFmtId="168" fontId="1" fillId="3" borderId="95" xfId="1" applyNumberFormat="1" applyFont="1" applyFill="1" applyBorder="1"/>
    <xf numFmtId="168" fontId="1" fillId="3" borderId="96" xfId="1" applyNumberFormat="1" applyFont="1" applyFill="1" applyBorder="1"/>
    <xf numFmtId="164" fontId="0" fillId="0" borderId="0" xfId="0" applyNumberFormat="1" applyFill="1" applyBorder="1"/>
    <xf numFmtId="0" fontId="0" fillId="0" borderId="30" xfId="0" applyFill="1" applyBorder="1"/>
    <xf numFmtId="0" fontId="0" fillId="0" borderId="37" xfId="0" applyFill="1" applyBorder="1"/>
    <xf numFmtId="0" fontId="0" fillId="8" borderId="28" xfId="0" applyFill="1" applyBorder="1"/>
    <xf numFmtId="0" fontId="0" fillId="8" borderId="2" xfId="0" applyFill="1" applyBorder="1"/>
    <xf numFmtId="164" fontId="0" fillId="8" borderId="29" xfId="0" applyNumberFormat="1" applyFill="1" applyBorder="1" applyAlignment="1">
      <alignment horizontal="right"/>
    </xf>
    <xf numFmtId="0" fontId="6" fillId="8" borderId="25" xfId="0" applyFont="1" applyFill="1" applyBorder="1" applyAlignment="1">
      <alignment horizontal="right"/>
    </xf>
    <xf numFmtId="179" fontId="0" fillId="0" borderId="31" xfId="0" applyNumberFormat="1" applyFill="1" applyBorder="1"/>
    <xf numFmtId="3" fontId="15" fillId="16" borderId="1" xfId="0" applyNumberFormat="1" applyFont="1" applyFill="1" applyBorder="1"/>
    <xf numFmtId="0" fontId="1" fillId="16" borderId="21" xfId="0" applyFont="1" applyFill="1" applyBorder="1"/>
    <xf numFmtId="0" fontId="0" fillId="16" borderId="22" xfId="0" applyFill="1" applyBorder="1"/>
    <xf numFmtId="0" fontId="0" fillId="16" borderId="23" xfId="0" applyFill="1" applyBorder="1"/>
    <xf numFmtId="3" fontId="0" fillId="0" borderId="18" xfId="0" applyNumberFormat="1" applyBorder="1"/>
    <xf numFmtId="0" fontId="0" fillId="0" borderId="33" xfId="0" applyBorder="1" applyAlignment="1">
      <alignment horizontal="center"/>
    </xf>
    <xf numFmtId="0" fontId="0" fillId="0" borderId="52" xfId="0" applyBorder="1" applyAlignment="1">
      <alignment horizontal="center"/>
    </xf>
    <xf numFmtId="0" fontId="1" fillId="0" borderId="31" xfId="0" applyFont="1" applyBorder="1" applyAlignment="1">
      <alignment horizontal="center"/>
    </xf>
    <xf numFmtId="180" fontId="0" fillId="0" borderId="27" xfId="0" applyNumberFormat="1" applyFont="1" applyFill="1" applyBorder="1"/>
    <xf numFmtId="167" fontId="0" fillId="0" borderId="27" xfId="0" applyNumberFormat="1" applyFont="1" applyFill="1" applyBorder="1"/>
    <xf numFmtId="3" fontId="0" fillId="0" borderId="47" xfId="0" applyNumberFormat="1" applyBorder="1"/>
    <xf numFmtId="180" fontId="0" fillId="0" borderId="90" xfId="0" applyNumberFormat="1" applyFont="1" applyFill="1" applyBorder="1"/>
    <xf numFmtId="180" fontId="0" fillId="0" borderId="89" xfId="0" applyNumberFormat="1" applyFont="1" applyFill="1" applyBorder="1"/>
    <xf numFmtId="0" fontId="1" fillId="3" borderId="22" xfId="0" applyFont="1" applyFill="1" applyBorder="1" applyAlignment="1">
      <alignment horizontal="center"/>
    </xf>
    <xf numFmtId="0" fontId="1" fillId="3" borderId="23" xfId="0" applyFont="1" applyFill="1" applyBorder="1" applyAlignment="1">
      <alignment horizontal="center"/>
    </xf>
    <xf numFmtId="0" fontId="0" fillId="0" borderId="50" xfId="0" applyBorder="1" applyAlignment="1">
      <alignment horizontal="left" indent="1"/>
    </xf>
    <xf numFmtId="0" fontId="1" fillId="0" borderId="57" xfId="0" applyFont="1" applyBorder="1"/>
    <xf numFmtId="3" fontId="0" fillId="0" borderId="42" xfId="0" applyNumberFormat="1" applyBorder="1"/>
    <xf numFmtId="3" fontId="0" fillId="0" borderId="32" xfId="0" applyNumberFormat="1" applyBorder="1"/>
    <xf numFmtId="3" fontId="1" fillId="0" borderId="58" xfId="0" applyNumberFormat="1" applyFont="1" applyBorder="1"/>
    <xf numFmtId="168" fontId="0" fillId="0" borderId="43" xfId="1" applyNumberFormat="1" applyFont="1" applyBorder="1"/>
    <xf numFmtId="168" fontId="0" fillId="0" borderId="51" xfId="1" applyNumberFormat="1" applyFont="1" applyBorder="1"/>
    <xf numFmtId="168" fontId="1" fillId="0" borderId="63" xfId="1" applyNumberFormat="1" applyFont="1" applyBorder="1"/>
    <xf numFmtId="168" fontId="0" fillId="0" borderId="14" xfId="0" applyNumberFormat="1" applyBorder="1" applyAlignment="1">
      <alignment horizontal="center" vertical="top" wrapText="1"/>
    </xf>
    <xf numFmtId="168" fontId="0" fillId="0" borderId="15" xfId="0" applyNumberFormat="1" applyBorder="1" applyAlignment="1">
      <alignment horizontal="center" vertical="top" wrapText="1"/>
    </xf>
    <xf numFmtId="0" fontId="3" fillId="8" borderId="30" xfId="0" applyFont="1" applyFill="1" applyBorder="1"/>
    <xf numFmtId="0" fontId="13" fillId="8" borderId="37" xfId="0" applyFont="1" applyFill="1" applyBorder="1"/>
    <xf numFmtId="3" fontId="18" fillId="6" borderId="33" xfId="0" applyNumberFormat="1" applyFont="1" applyFill="1" applyBorder="1"/>
    <xf numFmtId="3" fontId="15" fillId="17" borderId="1" xfId="0" applyNumberFormat="1" applyFont="1" applyFill="1" applyBorder="1"/>
    <xf numFmtId="0" fontId="0" fillId="17" borderId="23" xfId="0" applyFill="1" applyBorder="1"/>
    <xf numFmtId="0" fontId="0" fillId="17" borderId="27" xfId="0" applyFill="1" applyBorder="1"/>
    <xf numFmtId="0" fontId="0" fillId="17" borderId="29" xfId="0" applyFill="1" applyBorder="1"/>
    <xf numFmtId="3" fontId="15" fillId="17" borderId="18" xfId="0" applyNumberFormat="1" applyFont="1" applyFill="1" applyBorder="1"/>
    <xf numFmtId="0" fontId="2" fillId="6" borderId="41" xfId="0" applyFont="1" applyFill="1" applyBorder="1" applyAlignment="1">
      <alignment horizontal="center" vertical="center"/>
    </xf>
    <xf numFmtId="0" fontId="0" fillId="0" borderId="41" xfId="0" quotePrefix="1" applyBorder="1" applyAlignment="1">
      <alignment horizontal="left" wrapText="1" indent="1"/>
    </xf>
    <xf numFmtId="0" fontId="0" fillId="8" borderId="1" xfId="0" applyFill="1" applyBorder="1"/>
    <xf numFmtId="0" fontId="1" fillId="0" borderId="7" xfId="0" applyFont="1" applyBorder="1" applyAlignment="1">
      <alignment horizontal="right"/>
    </xf>
    <xf numFmtId="0" fontId="1" fillId="0" borderId="17" xfId="0" applyFont="1" applyBorder="1" applyAlignment="1">
      <alignment horizontal="right"/>
    </xf>
    <xf numFmtId="0" fontId="1" fillId="0" borderId="0" xfId="0" applyFont="1" applyAlignment="1">
      <alignment horizontal="right"/>
    </xf>
    <xf numFmtId="0" fontId="1" fillId="8" borderId="3" xfId="0" applyFont="1" applyFill="1" applyBorder="1" applyAlignment="1">
      <alignment horizontal="right"/>
    </xf>
    <xf numFmtId="0" fontId="1" fillId="0" borderId="0" xfId="0" applyFont="1" applyAlignment="1">
      <alignment horizontal="center"/>
    </xf>
    <xf numFmtId="0" fontId="1" fillId="0" borderId="8" xfId="0" applyFont="1" applyBorder="1" applyAlignment="1">
      <alignment horizontal="right"/>
    </xf>
    <xf numFmtId="0" fontId="42" fillId="0" borderId="1" xfId="7"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43" fillId="0" borderId="0" xfId="0" applyFont="1" applyAlignment="1">
      <alignment horizontal="right"/>
    </xf>
    <xf numFmtId="0" fontId="0" fillId="0" borderId="0" xfId="0" applyAlignment="1">
      <alignment horizontal="left" vertical="top" wrapText="1" indent="1"/>
    </xf>
    <xf numFmtId="0" fontId="1" fillId="18" borderId="0" xfId="0" applyFont="1" applyFill="1" applyAlignment="1">
      <alignment horizontal="left" indent="1"/>
    </xf>
    <xf numFmtId="0" fontId="5" fillId="0" borderId="28" xfId="0" applyFont="1" applyBorder="1" applyAlignment="1">
      <alignment horizontal="left" vertical="top" wrapText="1"/>
    </xf>
    <xf numFmtId="0" fontId="5" fillId="0" borderId="2" xfId="0" applyFont="1" applyBorder="1" applyAlignment="1">
      <alignment horizontal="left" vertical="top" wrapText="1"/>
    </xf>
    <xf numFmtId="0" fontId="5" fillId="0" borderId="29" xfId="0" applyFont="1" applyBorder="1" applyAlignment="1">
      <alignment horizontal="left" vertical="top" wrapText="1"/>
    </xf>
    <xf numFmtId="0" fontId="31" fillId="0" borderId="7" xfId="0" applyFont="1" applyFill="1" applyBorder="1" applyAlignment="1">
      <alignment horizontal="center" vertical="center"/>
    </xf>
    <xf numFmtId="0" fontId="31" fillId="0" borderId="6" xfId="0" applyFont="1" applyFill="1" applyBorder="1" applyAlignment="1">
      <alignment horizontal="center" vertical="center"/>
    </xf>
    <xf numFmtId="0" fontId="31" fillId="13" borderId="1" xfId="0" applyFont="1" applyFill="1" applyBorder="1" applyAlignment="1">
      <alignment horizontal="left"/>
    </xf>
    <xf numFmtId="0" fontId="31" fillId="13" borderId="1" xfId="0" applyFont="1" applyFill="1" applyBorder="1" applyAlignment="1">
      <alignment horizontal="left" vertical="center"/>
    </xf>
    <xf numFmtId="0" fontId="31" fillId="13" borderId="1" xfId="0" applyFont="1" applyFill="1" applyBorder="1" applyAlignment="1">
      <alignment horizontal="center" vertical="center"/>
    </xf>
    <xf numFmtId="0" fontId="31" fillId="0" borderId="32"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7" xfId="5" applyFont="1" applyFill="1" applyBorder="1" applyAlignment="1">
      <alignment horizontal="left" vertical="center"/>
    </xf>
    <xf numFmtId="0" fontId="31" fillId="0" borderId="4" xfId="5" applyFont="1" applyFill="1" applyBorder="1" applyAlignment="1">
      <alignment horizontal="left" vertical="center"/>
    </xf>
    <xf numFmtId="0" fontId="31" fillId="0" borderId="6" xfId="5" applyFont="1" applyFill="1" applyBorder="1" applyAlignment="1">
      <alignment horizontal="left" vertical="center"/>
    </xf>
    <xf numFmtId="0" fontId="31" fillId="0" borderId="32" xfId="6" applyFont="1" applyFill="1" applyBorder="1" applyAlignment="1">
      <alignment horizontal="center" vertical="center" wrapText="1"/>
    </xf>
    <xf numFmtId="0" fontId="31" fillId="0" borderId="19" xfId="6" applyFont="1" applyFill="1" applyBorder="1" applyAlignment="1">
      <alignment horizontal="center" vertical="center" wrapText="1"/>
    </xf>
    <xf numFmtId="0" fontId="31" fillId="0" borderId="20" xfId="6" applyFont="1" applyFill="1" applyBorder="1" applyAlignment="1">
      <alignment horizontal="center" vertical="center" wrapText="1"/>
    </xf>
    <xf numFmtId="0" fontId="31" fillId="0" borderId="9" xfId="6" applyFont="1" applyFill="1" applyBorder="1" applyAlignment="1">
      <alignment horizontal="center" vertical="center" wrapText="1"/>
    </xf>
    <xf numFmtId="0" fontId="31" fillId="0" borderId="11" xfId="6" applyFont="1" applyFill="1" applyBorder="1" applyAlignment="1">
      <alignment horizontal="center" vertical="center" wrapText="1"/>
    </xf>
    <xf numFmtId="0" fontId="31" fillId="0" borderId="13" xfId="6" applyFont="1" applyFill="1" applyBorder="1" applyAlignment="1">
      <alignment horizontal="center" vertical="center" wrapText="1"/>
    </xf>
    <xf numFmtId="0" fontId="31" fillId="0" borderId="8" xfId="6" applyFont="1" applyFill="1" applyBorder="1" applyAlignment="1">
      <alignment horizontal="center" vertical="center" wrapText="1"/>
    </xf>
    <xf numFmtId="0" fontId="31" fillId="0" borderId="14" xfId="6" applyFont="1" applyFill="1" applyBorder="1" applyAlignment="1">
      <alignment horizontal="center" vertical="center" wrapText="1"/>
    </xf>
    <xf numFmtId="0" fontId="31" fillId="0" borderId="10" xfId="6" applyFont="1" applyFill="1" applyBorder="1" applyAlignment="1">
      <alignment horizontal="center" vertical="center" wrapText="1"/>
    </xf>
    <xf numFmtId="0" fontId="31" fillId="0" borderId="0"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15" xfId="6" applyFont="1" applyFill="1" applyBorder="1" applyAlignment="1">
      <alignment horizontal="center" vertical="center" wrapText="1"/>
    </xf>
    <xf numFmtId="0" fontId="31" fillId="0" borderId="8" xfId="4" applyFont="1" applyFill="1" applyBorder="1" applyAlignment="1" applyProtection="1">
      <alignment horizontal="left" vertical="center" indent="1"/>
    </xf>
    <xf numFmtId="0" fontId="31" fillId="0" borderId="9" xfId="4" applyFont="1" applyFill="1" applyBorder="1" applyAlignment="1" applyProtection="1">
      <alignment horizontal="left" vertical="center" indent="1"/>
    </xf>
    <xf numFmtId="0" fontId="31" fillId="0" borderId="12" xfId="4" applyFont="1" applyFill="1" applyBorder="1" applyAlignment="1" applyProtection="1">
      <alignment horizontal="left" vertical="center" indent="1"/>
    </xf>
    <xf numFmtId="0" fontId="31" fillId="0" borderId="13" xfId="4" applyFont="1" applyFill="1" applyBorder="1" applyAlignment="1" applyProtection="1">
      <alignment horizontal="left" vertical="center" indent="1"/>
    </xf>
    <xf numFmtId="3" fontId="36" fillId="0" borderId="7" xfId="4" applyNumberFormat="1" applyFont="1" applyFill="1" applyBorder="1" applyAlignment="1" applyProtection="1">
      <alignment horizontal="center"/>
    </xf>
    <xf numFmtId="3" fontId="36" fillId="0" borderId="4" xfId="4" applyNumberFormat="1" applyFont="1" applyFill="1" applyBorder="1" applyAlignment="1" applyProtection="1">
      <alignment horizontal="center"/>
    </xf>
    <xf numFmtId="3" fontId="36" fillId="0" borderId="6" xfId="4" applyNumberFormat="1" applyFont="1" applyFill="1" applyBorder="1" applyAlignment="1" applyProtection="1">
      <alignment horizontal="center"/>
    </xf>
    <xf numFmtId="3" fontId="36" fillId="0" borderId="7" xfId="4" applyNumberFormat="1" applyFont="1" applyFill="1" applyBorder="1" applyAlignment="1" applyProtection="1">
      <alignment horizontal="center" vertical="center"/>
    </xf>
    <xf numFmtId="3" fontId="36" fillId="0" borderId="4" xfId="4" applyNumberFormat="1" applyFont="1" applyFill="1" applyBorder="1" applyAlignment="1" applyProtection="1">
      <alignment horizontal="center" vertical="center"/>
    </xf>
    <xf numFmtId="3" fontId="36" fillId="0" borderId="6" xfId="4" applyNumberFormat="1" applyFont="1" applyFill="1" applyBorder="1" applyAlignment="1" applyProtection="1">
      <alignment horizontal="center" vertical="center"/>
    </xf>
    <xf numFmtId="0" fontId="31" fillId="0" borderId="7" xfId="4" applyFont="1" applyFill="1" applyBorder="1" applyAlignment="1" applyProtection="1">
      <alignment horizontal="left" vertical="center"/>
    </xf>
    <xf numFmtId="0" fontId="31" fillId="0" borderId="4" xfId="4" applyFont="1" applyFill="1" applyBorder="1" applyAlignment="1" applyProtection="1">
      <alignment horizontal="left" vertical="center"/>
    </xf>
    <xf numFmtId="0" fontId="31" fillId="0" borderId="6" xfId="4" applyFont="1" applyFill="1" applyBorder="1" applyAlignment="1" applyProtection="1">
      <alignment horizontal="left" vertical="center"/>
    </xf>
    <xf numFmtId="0" fontId="31" fillId="0" borderId="32" xfId="4" applyFont="1" applyFill="1" applyBorder="1" applyAlignment="1" applyProtection="1">
      <alignment horizontal="left" vertical="center"/>
    </xf>
    <xf numFmtId="0" fontId="31" fillId="0" borderId="19" xfId="4" applyFont="1" applyFill="1" applyBorder="1" applyAlignment="1" applyProtection="1">
      <alignment horizontal="left" vertical="center"/>
    </xf>
    <xf numFmtId="0" fontId="31" fillId="0" borderId="20" xfId="4" applyFont="1" applyFill="1" applyBorder="1" applyAlignment="1" applyProtection="1">
      <alignment horizontal="left" vertical="center"/>
    </xf>
    <xf numFmtId="0" fontId="26" fillId="0" borderId="32" xfId="0" applyFont="1" applyFill="1" applyBorder="1" applyAlignment="1">
      <alignment horizontal="left" vertical="center"/>
    </xf>
    <xf numFmtId="0" fontId="26" fillId="0" borderId="20" xfId="0" applyFont="1" applyFill="1" applyBorder="1" applyAlignment="1">
      <alignment horizontal="left" vertical="center"/>
    </xf>
    <xf numFmtId="0" fontId="31" fillId="0" borderId="8" xfId="4" applyFont="1" applyFill="1" applyBorder="1" applyAlignment="1" applyProtection="1">
      <alignment horizontal="left" vertical="center"/>
    </xf>
    <xf numFmtId="0" fontId="31" fillId="0" borderId="10" xfId="4" applyFont="1" applyFill="1" applyBorder="1" applyAlignment="1" applyProtection="1">
      <alignment horizontal="left" vertical="center"/>
    </xf>
    <xf numFmtId="0" fontId="31" fillId="0" borderId="12" xfId="4" applyFont="1" applyFill="1" applyBorder="1" applyAlignment="1" applyProtection="1">
      <alignment horizontal="left" vertical="center"/>
    </xf>
    <xf numFmtId="0" fontId="31" fillId="0" borderId="32" xfId="4" applyFont="1" applyFill="1" applyBorder="1" applyAlignment="1" applyProtection="1">
      <alignment horizontal="left" vertical="center" indent="1"/>
    </xf>
    <xf numFmtId="0" fontId="31" fillId="0" borderId="19" xfId="4" applyFont="1" applyFill="1" applyBorder="1" applyAlignment="1" applyProtection="1">
      <alignment horizontal="left" vertical="center" indent="1"/>
    </xf>
    <xf numFmtId="0" fontId="31" fillId="0" borderId="20" xfId="4" applyFont="1" applyFill="1" applyBorder="1" applyAlignment="1" applyProtection="1">
      <alignment horizontal="left" vertical="center" indent="1"/>
    </xf>
    <xf numFmtId="0" fontId="26" fillId="13" borderId="32" xfId="0" applyFont="1" applyFill="1" applyBorder="1" applyAlignment="1">
      <alignment horizontal="left" vertical="center"/>
    </xf>
    <xf numFmtId="0" fontId="26" fillId="13" borderId="20" xfId="0" applyFont="1" applyFill="1" applyBorder="1" applyAlignment="1">
      <alignment horizontal="left" vertical="center"/>
    </xf>
    <xf numFmtId="0" fontId="31" fillId="13" borderId="7" xfId="0" applyFont="1" applyFill="1" applyBorder="1" applyAlignment="1">
      <alignment horizontal="left"/>
    </xf>
    <xf numFmtId="0" fontId="31" fillId="13" borderId="6" xfId="0" applyFont="1" applyFill="1" applyBorder="1" applyAlignment="1">
      <alignment horizontal="left"/>
    </xf>
    <xf numFmtId="0" fontId="31" fillId="13" borderId="4" xfId="0" applyFont="1" applyFill="1" applyBorder="1" applyAlignment="1">
      <alignment horizontal="left"/>
    </xf>
    <xf numFmtId="0" fontId="0" fillId="0" borderId="32" xfId="0" applyBorder="1" applyAlignment="1">
      <alignment horizontal="left" vertical="top" wrapText="1" indent="1"/>
    </xf>
    <xf numFmtId="0" fontId="0" fillId="0" borderId="20" xfId="0" applyBorder="1" applyAlignment="1">
      <alignment horizontal="left" vertical="top" wrapText="1" indent="1"/>
    </xf>
    <xf numFmtId="0" fontId="0" fillId="0" borderId="54" xfId="0" applyBorder="1" applyAlignment="1">
      <alignment horizontal="left" vertical="top" wrapText="1" indent="1"/>
    </xf>
    <xf numFmtId="0" fontId="1" fillId="8" borderId="57" xfId="0" applyFont="1" applyFill="1" applyBorder="1" applyAlignment="1">
      <alignment horizontal="center"/>
    </xf>
    <xf numFmtId="0" fontId="1" fillId="8" borderId="63" xfId="0" applyFont="1" applyFill="1" applyBorder="1" applyAlignment="1">
      <alignment horizontal="center"/>
    </xf>
    <xf numFmtId="165" fontId="0" fillId="0" borderId="1" xfId="0" applyNumberFormat="1" applyBorder="1"/>
  </cellXfs>
  <cellStyles count="8">
    <cellStyle name="Hiperligação" xfId="7" builtinId="8"/>
    <cellStyle name="Normal" xfId="0" builtinId="0"/>
    <cellStyle name="Normal 2" xfId="2"/>
    <cellStyle name="Normal_arredond" xfId="4"/>
    <cellStyle name="Normal_Quant_02_1" xfId="6"/>
    <cellStyle name="Normal_variacoestarifas" xfId="5"/>
    <cellStyle name="Percentagem" xfId="1" builtinId="5"/>
    <cellStyle name="Vírgula" xfId="3" builtinId="3"/>
  </cellStyles>
  <dxfs count="4">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Reference price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barChart>
        <c:barDir val="col"/>
        <c:grouping val="clustered"/>
        <c:varyColors val="0"/>
        <c:ser>
          <c:idx val="0"/>
          <c:order val="0"/>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RPM!$U$36:$V$42</c:f>
              <c:multiLvlStrCache>
                <c:ptCount val="7"/>
                <c:lvl>
                  <c:pt idx="0">
                    <c:v>VIP</c:v>
                  </c:pt>
                  <c:pt idx="1">
                    <c:v>LNG</c:v>
                  </c:pt>
                  <c:pt idx="2">
                    <c:v>Storage</c:v>
                  </c:pt>
                  <c:pt idx="3">
                    <c:v>VIP</c:v>
                  </c:pt>
                  <c:pt idx="4">
                    <c:v>LNG</c:v>
                  </c:pt>
                  <c:pt idx="5">
                    <c:v>Storage</c:v>
                  </c:pt>
                  <c:pt idx="6">
                    <c:v>Clients</c:v>
                  </c:pt>
                </c:lvl>
                <c:lvl>
                  <c:pt idx="0">
                    <c:v>Entry</c:v>
                  </c:pt>
                  <c:pt idx="3">
                    <c:v>Exit</c:v>
                  </c:pt>
                </c:lvl>
              </c:multiLvlStrCache>
            </c:multiLvlStrRef>
          </c:cat>
          <c:val>
            <c:numRef>
              <c:f>RPM!$W$36:$W$42</c:f>
              <c:numCache>
                <c:formatCode>0.0000</c:formatCode>
                <c:ptCount val="7"/>
                <c:pt idx="0">
                  <c:v>7.561106201876E-2</c:v>
                </c:pt>
                <c:pt idx="1">
                  <c:v>7.0376461457919356E-2</c:v>
                </c:pt>
                <c:pt idx="2">
                  <c:v>3.7374532540962471E-2</c:v>
                </c:pt>
                <c:pt idx="3">
                  <c:v>0</c:v>
                </c:pt>
                <c:pt idx="4">
                  <c:v>0</c:v>
                </c:pt>
                <c:pt idx="5">
                  <c:v>0</c:v>
                </c:pt>
                <c:pt idx="6">
                  <c:v>0.15152729119099162</c:v>
                </c:pt>
              </c:numCache>
            </c:numRef>
          </c:val>
          <c:extLst>
            <c:ext xmlns:c16="http://schemas.microsoft.com/office/drawing/2014/chart" uri="{C3380CC4-5D6E-409C-BE32-E72D297353CC}">
              <c16:uniqueId val="{00000000-0150-4664-A2EB-34907040A687}"/>
            </c:ext>
          </c:extLst>
        </c:ser>
        <c:dLbls>
          <c:showLegendKey val="0"/>
          <c:showVal val="0"/>
          <c:showCatName val="0"/>
          <c:showSerName val="0"/>
          <c:showPercent val="0"/>
          <c:showBubbleSize val="0"/>
        </c:dLbls>
        <c:gapWidth val="219"/>
        <c:overlap val="-27"/>
        <c:axId val="526875048"/>
        <c:axId val="526875440"/>
      </c:barChart>
      <c:catAx>
        <c:axId val="5268750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PT"/>
          </a:p>
        </c:txPr>
        <c:crossAx val="526875440"/>
        <c:crosses val="autoZero"/>
        <c:auto val="1"/>
        <c:lblAlgn val="ctr"/>
        <c:lblOffset val="100"/>
        <c:noMultiLvlLbl val="0"/>
      </c:catAx>
      <c:valAx>
        <c:axId val="52687544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i="0" u="none" strike="noStrike" baseline="0">
                    <a:effectLst/>
                  </a:rPr>
                  <a:t>€/(kWh/d) per year</a:t>
                </a:r>
                <a:endParaRPr lang="en-US" sz="1100" b="1"/>
              </a:p>
            </c:rich>
          </c:tx>
          <c:layout>
            <c:manualLayout>
              <c:xMode val="edge"/>
              <c:yMode val="edge"/>
              <c:x val="1.3888888888888888E-2"/>
              <c:y val="0.24141987459900846"/>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PT"/>
            </a:p>
          </c:txPr>
        </c:title>
        <c:numFmt formatCode="0.00" sourceLinked="0"/>
        <c:majorTickMark val="none"/>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crossAx val="526875048"/>
        <c:crosses val="autoZero"/>
        <c:crossBetween val="between"/>
        <c:majorUnit val="5.000000000000001E-2"/>
      </c:valAx>
      <c:spPr>
        <a:noFill/>
        <a:ln>
          <a:noFill/>
        </a:ln>
        <a:effectLst/>
      </c:spPr>
    </c:plotArea>
    <c:plotVisOnly val="1"/>
    <c:dispBlanksAs val="gap"/>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pt-PT"/>
    </a:p>
  </c:txPr>
  <c:printSettings>
    <c:headerFooter/>
    <c:pageMargins b="0.74803149606299213" l="0.70866141732283472" r="0.70866141732283472" t="0.74803149606299213" header="0.31496062992125984" footer="0.3149606299212598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Reconcile_RPM!$W$79</c:f>
              <c:strCache>
                <c:ptCount val="1"/>
                <c:pt idx="0">
                  <c:v>€/(kWh/day) per year</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Reconcile_RPM!$T$81:$U$87</c:f>
              <c:multiLvlStrCache>
                <c:ptCount val="7"/>
                <c:lvl>
                  <c:pt idx="0">
                    <c:v>VIP</c:v>
                  </c:pt>
                  <c:pt idx="1">
                    <c:v>LNG terminal</c:v>
                  </c:pt>
                  <c:pt idx="2">
                    <c:v>Storage</c:v>
                  </c:pt>
                  <c:pt idx="3">
                    <c:v>VIP</c:v>
                  </c:pt>
                  <c:pt idx="4">
                    <c:v>LNG terminal</c:v>
                  </c:pt>
                  <c:pt idx="5">
                    <c:v>Storage</c:v>
                  </c:pt>
                  <c:pt idx="6">
                    <c:v>Domestic exits</c:v>
                  </c:pt>
                </c:lvl>
                <c:lvl>
                  <c:pt idx="0">
                    <c:v>Entry points</c:v>
                  </c:pt>
                  <c:pt idx="3">
                    <c:v>Exit points</c:v>
                  </c:pt>
                </c:lvl>
              </c:multiLvlStrCache>
            </c:multiLvlStrRef>
          </c:cat>
          <c:val>
            <c:numRef>
              <c:f>Reconcile_RPM!$W$81:$W$87</c:f>
              <c:numCache>
                <c:formatCode>0.0000</c:formatCode>
                <c:ptCount val="7"/>
                <c:pt idx="0">
                  <c:v>0.18499776619667357</c:v>
                </c:pt>
                <c:pt idx="1">
                  <c:v>0.17219025649065856</c:v>
                </c:pt>
                <c:pt idx="2">
                  <c:v>4.5722179057658616E-3</c:v>
                </c:pt>
                <c:pt idx="3">
                  <c:v>0</c:v>
                </c:pt>
                <c:pt idx="4">
                  <c:v>0</c:v>
                </c:pt>
                <c:pt idx="5">
                  <c:v>0</c:v>
                </c:pt>
                <c:pt idx="6">
                  <c:v>0.17201404877749671</c:v>
                </c:pt>
              </c:numCache>
            </c:numRef>
          </c:val>
          <c:extLst>
            <c:ext xmlns:c16="http://schemas.microsoft.com/office/drawing/2014/chart" uri="{C3380CC4-5D6E-409C-BE32-E72D297353CC}">
              <c16:uniqueId val="{00000000-17FB-4AFE-B70F-0A821227B4EC}"/>
            </c:ext>
          </c:extLst>
        </c:ser>
        <c:dLbls>
          <c:showLegendKey val="0"/>
          <c:showVal val="0"/>
          <c:showCatName val="0"/>
          <c:showSerName val="0"/>
          <c:showPercent val="0"/>
          <c:showBubbleSize val="0"/>
        </c:dLbls>
        <c:gapWidth val="219"/>
        <c:axId val="526876224"/>
        <c:axId val="526876616"/>
      </c:barChart>
      <c:catAx>
        <c:axId val="526876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PT"/>
          </a:p>
        </c:txPr>
        <c:crossAx val="526876616"/>
        <c:crosses val="autoZero"/>
        <c:auto val="1"/>
        <c:lblAlgn val="ctr"/>
        <c:lblOffset val="100"/>
        <c:noMultiLvlLbl val="0"/>
      </c:catAx>
      <c:valAx>
        <c:axId val="526876616"/>
        <c:scaling>
          <c:orientation val="minMax"/>
          <c:max val="0.25"/>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(kWh/day)</a:t>
                </a:r>
                <a:r>
                  <a:rPr lang="pt-PT" baseline="0"/>
                  <a:t> per year</a:t>
                </a:r>
                <a:endParaRPr lang="pt-PT"/>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0.00" sourceLinked="0"/>
        <c:majorTickMark val="none"/>
        <c:minorTickMark val="none"/>
        <c:tickLblPos val="none"/>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26876224"/>
        <c:crosses val="autoZero"/>
        <c:crossBetween val="between"/>
      </c:valAx>
      <c:spPr>
        <a:noFill/>
        <a:ln>
          <a:solidFill>
            <a:schemeClr val="bg2"/>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RPM_vs_CWD!$C$3</c:f>
              <c:strCache>
                <c:ptCount val="1"/>
                <c:pt idx="0">
                  <c:v>modified CWD (40%-60%)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RPM_vs_CWD!$A$4:$B$10</c:f>
              <c:multiLvlStrCache>
                <c:ptCount val="7"/>
                <c:lvl>
                  <c:pt idx="0">
                    <c:v>VIP</c:v>
                  </c:pt>
                  <c:pt idx="1">
                    <c:v>LNG terminal</c:v>
                  </c:pt>
                  <c:pt idx="2">
                    <c:v>Storage</c:v>
                  </c:pt>
                  <c:pt idx="3">
                    <c:v>VIP</c:v>
                  </c:pt>
                  <c:pt idx="4">
                    <c:v>LNG terminal</c:v>
                  </c:pt>
                  <c:pt idx="5">
                    <c:v>Storage</c:v>
                  </c:pt>
                  <c:pt idx="6">
                    <c:v>Domestic exits</c:v>
                  </c:pt>
                </c:lvl>
                <c:lvl>
                  <c:pt idx="0">
                    <c:v>Entry points</c:v>
                  </c:pt>
                  <c:pt idx="3">
                    <c:v>Exit points</c:v>
                  </c:pt>
                </c:lvl>
              </c:multiLvlStrCache>
            </c:multiLvlStrRef>
          </c:cat>
          <c:val>
            <c:numRef>
              <c:f>RPM_vs_CWD!$C$4:$C$10</c:f>
              <c:numCache>
                <c:formatCode>0.0000</c:formatCode>
                <c:ptCount val="7"/>
                <c:pt idx="0">
                  <c:v>0.18499776619667357</c:v>
                </c:pt>
                <c:pt idx="1">
                  <c:v>0.17219025649065856</c:v>
                </c:pt>
                <c:pt idx="2">
                  <c:v>4.5722179057658616E-3</c:v>
                </c:pt>
                <c:pt idx="3">
                  <c:v>0</c:v>
                </c:pt>
                <c:pt idx="4">
                  <c:v>0</c:v>
                </c:pt>
                <c:pt idx="5">
                  <c:v>0</c:v>
                </c:pt>
                <c:pt idx="6">
                  <c:v>0.17201404877749671</c:v>
                </c:pt>
              </c:numCache>
            </c:numRef>
          </c:val>
          <c:extLst>
            <c:ext xmlns:c16="http://schemas.microsoft.com/office/drawing/2014/chart" uri="{C3380CC4-5D6E-409C-BE32-E72D297353CC}">
              <c16:uniqueId val="{00000000-3B63-4DED-9B53-9C59C664C6BC}"/>
            </c:ext>
          </c:extLst>
        </c:ser>
        <c:ser>
          <c:idx val="2"/>
          <c:order val="1"/>
          <c:tx>
            <c:strRef>
              <c:f>RPM_vs_CWD!$D$3</c:f>
              <c:strCache>
                <c:ptCount val="1"/>
                <c:pt idx="0">
                  <c:v>CWD (50%-50%)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RPM_vs_CWD!$A$4:$B$10</c:f>
              <c:multiLvlStrCache>
                <c:ptCount val="7"/>
                <c:lvl>
                  <c:pt idx="0">
                    <c:v>VIP</c:v>
                  </c:pt>
                  <c:pt idx="1">
                    <c:v>LNG terminal</c:v>
                  </c:pt>
                  <c:pt idx="2">
                    <c:v>Storage</c:v>
                  </c:pt>
                  <c:pt idx="3">
                    <c:v>VIP</c:v>
                  </c:pt>
                  <c:pt idx="4">
                    <c:v>LNG terminal</c:v>
                  </c:pt>
                  <c:pt idx="5">
                    <c:v>Storage</c:v>
                  </c:pt>
                  <c:pt idx="6">
                    <c:v>Domestic exits</c:v>
                  </c:pt>
                </c:lvl>
                <c:lvl>
                  <c:pt idx="0">
                    <c:v>Entry points</c:v>
                  </c:pt>
                  <c:pt idx="3">
                    <c:v>Exit points</c:v>
                  </c:pt>
                </c:lvl>
              </c:multiLvlStrCache>
            </c:multiLvlStrRef>
          </c:cat>
          <c:val>
            <c:numRef>
              <c:f>RPM_vs_CWD!$D$4:$D$10</c:f>
              <c:numCache>
                <c:formatCode>0.0000</c:formatCode>
                <c:ptCount val="7"/>
                <c:pt idx="0">
                  <c:v>0.2288976688050621</c:v>
                </c:pt>
                <c:pt idx="1">
                  <c:v>0.21871040555528265</c:v>
                </c:pt>
                <c:pt idx="2">
                  <c:v>5.933944072189664E-3</c:v>
                </c:pt>
                <c:pt idx="3">
                  <c:v>0.22122757202239504</c:v>
                </c:pt>
                <c:pt idx="4">
                  <c:v>0</c:v>
                </c:pt>
                <c:pt idx="5">
                  <c:v>6.2538905428542466E-3</c:v>
                </c:pt>
                <c:pt idx="6">
                  <c:v>0.14202543607090309</c:v>
                </c:pt>
              </c:numCache>
            </c:numRef>
          </c:val>
          <c:extLst>
            <c:ext xmlns:c16="http://schemas.microsoft.com/office/drawing/2014/chart" uri="{C3380CC4-5D6E-409C-BE32-E72D297353CC}">
              <c16:uniqueId val="{00000001-3B63-4DED-9B53-9C59C664C6BC}"/>
            </c:ext>
          </c:extLst>
        </c:ser>
        <c:dLbls>
          <c:showLegendKey val="0"/>
          <c:showVal val="0"/>
          <c:showCatName val="0"/>
          <c:showSerName val="0"/>
          <c:showPercent val="0"/>
          <c:showBubbleSize val="0"/>
        </c:dLbls>
        <c:gapWidth val="37"/>
        <c:overlap val="-25"/>
        <c:axId val="532047440"/>
        <c:axId val="532047832"/>
        <c:extLst/>
      </c:barChart>
      <c:catAx>
        <c:axId val="532047440"/>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pt-PT"/>
          </a:p>
        </c:txPr>
        <c:crossAx val="532047832"/>
        <c:crosses val="autoZero"/>
        <c:auto val="1"/>
        <c:lblAlgn val="ctr"/>
        <c:lblOffset val="100"/>
        <c:noMultiLvlLbl val="0"/>
      </c:catAx>
      <c:valAx>
        <c:axId val="532047832"/>
        <c:scaling>
          <c:orientation val="minMax"/>
          <c:max val="0.30000000000000004"/>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0"/>
                  <a:t>€ / (kWh/d) per 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0.00" sourceLinked="0"/>
        <c:majorTickMark val="none"/>
        <c:minorTickMark val="none"/>
        <c:tickLblPos val="high"/>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PT"/>
          </a:p>
        </c:txPr>
        <c:crossAx val="532047440"/>
        <c:crosses val="autoZero"/>
        <c:crossBetween val="between"/>
      </c:valAx>
      <c:spPr>
        <a:noFill/>
        <a:ln>
          <a:solidFill>
            <a:schemeClr val="bg2"/>
          </a:solidFill>
        </a:ln>
        <a:effectLst/>
      </c:spPr>
    </c:plotArea>
    <c:legend>
      <c:legendPos val="b"/>
      <c:layout>
        <c:manualLayout>
          <c:xMode val="edge"/>
          <c:yMode val="edge"/>
          <c:x val="1.0222222222222223E-3"/>
          <c:y val="0.93734467592592607"/>
          <c:w val="0.59879201388888892"/>
          <c:h val="4.9609722222222229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noFill/>
      <a:round/>
    </a:ln>
    <a:effectLst/>
  </c:spPr>
  <c:txPr>
    <a:bodyPr/>
    <a:lstStyle/>
    <a:p>
      <a:pPr>
        <a:defRPr b="1"/>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CWD!$T$18:$U$24</c:f>
              <c:multiLvlStrCache>
                <c:ptCount val="7"/>
                <c:lvl>
                  <c:pt idx="0">
                    <c:v>VIP</c:v>
                  </c:pt>
                  <c:pt idx="1">
                    <c:v>LNG</c:v>
                  </c:pt>
                  <c:pt idx="2">
                    <c:v>Storage</c:v>
                  </c:pt>
                  <c:pt idx="3">
                    <c:v>VIP</c:v>
                  </c:pt>
                  <c:pt idx="4">
                    <c:v>LNG</c:v>
                  </c:pt>
                  <c:pt idx="5">
                    <c:v>Storage</c:v>
                  </c:pt>
                  <c:pt idx="6">
                    <c:v>Clients</c:v>
                  </c:pt>
                </c:lvl>
                <c:lvl>
                  <c:pt idx="0">
                    <c:v>Entry</c:v>
                  </c:pt>
                  <c:pt idx="3">
                    <c:v>Exit</c:v>
                  </c:pt>
                </c:lvl>
              </c:multiLvlStrCache>
            </c:multiLvlStrRef>
          </c:cat>
          <c:val>
            <c:numRef>
              <c:f>CWD!$V$18:$V$24</c:f>
              <c:numCache>
                <c:formatCode>0.0000</c:formatCode>
                <c:ptCount val="7"/>
                <c:pt idx="0">
                  <c:v>9.2891206627138886E-2</c:v>
                </c:pt>
                <c:pt idx="1">
                  <c:v>8.8757013472440444E-2</c:v>
                </c:pt>
                <c:pt idx="2">
                  <c:v>4.816224016620177E-2</c:v>
                </c:pt>
                <c:pt idx="3">
                  <c:v>0.16747425642297084</c:v>
                </c:pt>
                <c:pt idx="4">
                  <c:v>0</c:v>
                </c:pt>
                <c:pt idx="5">
                  <c:v>9.4686720903770338E-2</c:v>
                </c:pt>
                <c:pt idx="6">
                  <c:v>0.10751645503172109</c:v>
                </c:pt>
              </c:numCache>
            </c:numRef>
          </c:val>
          <c:extLst>
            <c:ext xmlns:c16="http://schemas.microsoft.com/office/drawing/2014/chart" uri="{C3380CC4-5D6E-409C-BE32-E72D297353CC}">
              <c16:uniqueId val="{00000000-95D1-47C6-B732-A0A86A9C836E}"/>
            </c:ext>
          </c:extLst>
        </c:ser>
        <c:dLbls>
          <c:showLegendKey val="0"/>
          <c:showVal val="0"/>
          <c:showCatName val="0"/>
          <c:showSerName val="0"/>
          <c:showPercent val="0"/>
          <c:showBubbleSize val="0"/>
        </c:dLbls>
        <c:gapWidth val="219"/>
        <c:overlap val="-27"/>
        <c:axId val="526873872"/>
        <c:axId val="526874264"/>
      </c:barChart>
      <c:catAx>
        <c:axId val="5268738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PT"/>
          </a:p>
        </c:txPr>
        <c:crossAx val="526874264"/>
        <c:crosses val="autoZero"/>
        <c:auto val="1"/>
        <c:lblAlgn val="ctr"/>
        <c:lblOffset val="100"/>
        <c:noMultiLvlLbl val="0"/>
      </c:catAx>
      <c:valAx>
        <c:axId val="526874264"/>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b="1" i="0" u="none" strike="noStrike" baseline="0">
                    <a:effectLst/>
                  </a:rPr>
                  <a:t>€/(kWh/d) per year</a:t>
                </a:r>
                <a:endParaRPr lang="en-US" sz="1100" b="1"/>
              </a:p>
            </c:rich>
          </c:tx>
          <c:layout>
            <c:manualLayout>
              <c:xMode val="edge"/>
              <c:yMode val="edge"/>
              <c:x val="1.3888888888888888E-2"/>
              <c:y val="0.24141987459900846"/>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PT"/>
            </a:p>
          </c:txPr>
        </c:title>
        <c:numFmt formatCode="0.00" sourceLinked="0"/>
        <c:majorTickMark val="none"/>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crossAx val="526873872"/>
        <c:crosses val="autoZero"/>
        <c:crossBetween val="between"/>
        <c:majorUnit val="5.000000000000001E-2"/>
      </c:valAx>
      <c:spPr>
        <a:noFill/>
        <a:ln>
          <a:noFill/>
        </a:ln>
        <a:effectLst/>
      </c:spPr>
    </c:plotArea>
    <c:plotVisOnly val="1"/>
    <c:dispBlanksAs val="gap"/>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pt-PT"/>
    </a:p>
  </c:tx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Reconcile_CWD!$W$79</c:f>
              <c:strCache>
                <c:ptCount val="1"/>
                <c:pt idx="0">
                  <c:v>€/(kWh/day) per year</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Reconcile_CWD!$T$81:$U$87</c:f>
              <c:multiLvlStrCache>
                <c:ptCount val="7"/>
                <c:lvl>
                  <c:pt idx="0">
                    <c:v>VIP</c:v>
                  </c:pt>
                  <c:pt idx="1">
                    <c:v>Terminal GNL</c:v>
                  </c:pt>
                  <c:pt idx="2">
                    <c:v>Armazenamento</c:v>
                  </c:pt>
                  <c:pt idx="3">
                    <c:v>VIP</c:v>
                  </c:pt>
                  <c:pt idx="4">
                    <c:v>Terminal GNL</c:v>
                  </c:pt>
                  <c:pt idx="5">
                    <c:v>Armazenamento</c:v>
                  </c:pt>
                  <c:pt idx="6">
                    <c:v>Saídas domésticas</c:v>
                  </c:pt>
                </c:lvl>
                <c:lvl>
                  <c:pt idx="0">
                    <c:v>Pontos de entrada</c:v>
                  </c:pt>
                  <c:pt idx="3">
                    <c:v>Pontos de saída</c:v>
                  </c:pt>
                </c:lvl>
              </c:multiLvlStrCache>
            </c:multiLvlStrRef>
          </c:cat>
          <c:val>
            <c:numRef>
              <c:f>Reconcile_CWD!$W$81:$W$87</c:f>
              <c:numCache>
                <c:formatCode>0.0000</c:formatCode>
                <c:ptCount val="7"/>
                <c:pt idx="0">
                  <c:v>0.2288976688050621</c:v>
                </c:pt>
                <c:pt idx="1">
                  <c:v>0.21871040555528265</c:v>
                </c:pt>
                <c:pt idx="2">
                  <c:v>5.933944072189664E-3</c:v>
                </c:pt>
                <c:pt idx="3">
                  <c:v>0.22122757202239504</c:v>
                </c:pt>
                <c:pt idx="4">
                  <c:v>0</c:v>
                </c:pt>
                <c:pt idx="5">
                  <c:v>6.2538905428542466E-3</c:v>
                </c:pt>
                <c:pt idx="6">
                  <c:v>0.14202543607090309</c:v>
                </c:pt>
              </c:numCache>
            </c:numRef>
          </c:val>
          <c:extLst>
            <c:ext xmlns:c16="http://schemas.microsoft.com/office/drawing/2014/chart" uri="{C3380CC4-5D6E-409C-BE32-E72D297353CC}">
              <c16:uniqueId val="{00000000-D19B-44F9-A1A7-23AB40A5FA30}"/>
            </c:ext>
          </c:extLst>
        </c:ser>
        <c:dLbls>
          <c:showLegendKey val="0"/>
          <c:showVal val="0"/>
          <c:showCatName val="0"/>
          <c:showSerName val="0"/>
          <c:showPercent val="0"/>
          <c:showBubbleSize val="0"/>
        </c:dLbls>
        <c:gapWidth val="219"/>
        <c:axId val="526877400"/>
        <c:axId val="532045480"/>
      </c:barChart>
      <c:catAx>
        <c:axId val="5268774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32045480"/>
        <c:crosses val="autoZero"/>
        <c:auto val="1"/>
        <c:lblAlgn val="ctr"/>
        <c:lblOffset val="100"/>
        <c:noMultiLvlLbl val="0"/>
      </c:catAx>
      <c:valAx>
        <c:axId val="532045480"/>
        <c:scaling>
          <c:orientation val="minMax"/>
          <c:max val="0.25"/>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a:t>
                </a:r>
                <a:r>
                  <a:rPr lang="pt-PT" baseline="0"/>
                  <a:t> por ano</a:t>
                </a:r>
                <a:endParaRPr lang="pt-PT"/>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0.00" sourceLinked="0"/>
        <c:majorTickMark val="none"/>
        <c:minorTickMark val="none"/>
        <c:tickLblPos val="none"/>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26877400"/>
        <c:crosses val="autoZero"/>
        <c:crossBetween val="between"/>
      </c:valAx>
      <c:spPr>
        <a:noFill/>
        <a:ln>
          <a:solidFill>
            <a:schemeClr val="bg2"/>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Reconcile_MATRIX!$W$79</c:f>
              <c:strCache>
                <c:ptCount val="1"/>
                <c:pt idx="0">
                  <c:v>€/(kWh/day) per year</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Reconcile_MATRIX!$T$81:$U$87</c:f>
              <c:multiLvlStrCache>
                <c:ptCount val="7"/>
                <c:lvl>
                  <c:pt idx="0">
                    <c:v>VIP</c:v>
                  </c:pt>
                  <c:pt idx="1">
                    <c:v>Terminal GNL</c:v>
                  </c:pt>
                  <c:pt idx="2">
                    <c:v>Armazenamento</c:v>
                  </c:pt>
                  <c:pt idx="3">
                    <c:v>VIP</c:v>
                  </c:pt>
                  <c:pt idx="4">
                    <c:v>Terminal GNL</c:v>
                  </c:pt>
                  <c:pt idx="5">
                    <c:v>Armazenamento</c:v>
                  </c:pt>
                  <c:pt idx="6">
                    <c:v>Saídas domésticas</c:v>
                  </c:pt>
                </c:lvl>
                <c:lvl>
                  <c:pt idx="0">
                    <c:v>Pontos de entrada</c:v>
                  </c:pt>
                  <c:pt idx="3">
                    <c:v>Pontos de saída</c:v>
                  </c:pt>
                </c:lvl>
              </c:multiLvlStrCache>
            </c:multiLvlStrRef>
          </c:cat>
          <c:val>
            <c:numRef>
              <c:f>Reconcile_MATRIX!$W$81:$W$87</c:f>
              <c:numCache>
                <c:formatCode>0.0000</c:formatCode>
                <c:ptCount val="7"/>
                <c:pt idx="0">
                  <c:v>0.23107172905115805</c:v>
                </c:pt>
                <c:pt idx="1">
                  <c:v>0.10409134093724992</c:v>
                </c:pt>
                <c:pt idx="2">
                  <c:v>3.2532594305460246E-4</c:v>
                </c:pt>
                <c:pt idx="3">
                  <c:v>0</c:v>
                </c:pt>
                <c:pt idx="4">
                  <c:v>0</c:v>
                </c:pt>
                <c:pt idx="5">
                  <c:v>0</c:v>
                </c:pt>
                <c:pt idx="6">
                  <c:v>0.16934395389551685</c:v>
                </c:pt>
              </c:numCache>
            </c:numRef>
          </c:val>
          <c:extLst>
            <c:ext xmlns:c16="http://schemas.microsoft.com/office/drawing/2014/chart" uri="{C3380CC4-5D6E-409C-BE32-E72D297353CC}">
              <c16:uniqueId val="{00000000-95C3-4444-AC8E-71C1DED39221}"/>
            </c:ext>
          </c:extLst>
        </c:ser>
        <c:dLbls>
          <c:showLegendKey val="0"/>
          <c:showVal val="0"/>
          <c:showCatName val="0"/>
          <c:showSerName val="0"/>
          <c:showPercent val="0"/>
          <c:showBubbleSize val="0"/>
        </c:dLbls>
        <c:gapWidth val="219"/>
        <c:axId val="532046264"/>
        <c:axId val="532046656"/>
      </c:barChart>
      <c:catAx>
        <c:axId val="5320462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32046656"/>
        <c:crosses val="autoZero"/>
        <c:auto val="1"/>
        <c:lblAlgn val="ctr"/>
        <c:lblOffset val="100"/>
        <c:noMultiLvlLbl val="0"/>
      </c:catAx>
      <c:valAx>
        <c:axId val="532046656"/>
        <c:scaling>
          <c:orientation val="minMax"/>
          <c:max val="0.25"/>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a:t>
                </a:r>
                <a:r>
                  <a:rPr lang="pt-PT" baseline="0"/>
                  <a:t> por ano</a:t>
                </a:r>
                <a:endParaRPr lang="pt-PT"/>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0.00" sourceLinked="0"/>
        <c:majorTickMark val="none"/>
        <c:minorTickMark val="none"/>
        <c:tickLblPos val="none"/>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32046264"/>
        <c:crosses val="autoZero"/>
        <c:crossBetween val="between"/>
      </c:valAx>
      <c:spPr>
        <a:noFill/>
        <a:ln>
          <a:solidFill>
            <a:schemeClr val="bg2"/>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RPM_vs_CWD_vs_Matrix!$C$3</c:f>
              <c:strCache>
                <c:ptCount val="1"/>
                <c:pt idx="0">
                  <c:v>modified CWD (40%-60%)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RPM_vs_CWD_vs_Matrix!$A$4:$B$10</c:f>
              <c:multiLvlStrCache>
                <c:ptCount val="7"/>
                <c:lvl>
                  <c:pt idx="0">
                    <c:v>VIP</c:v>
                  </c:pt>
                  <c:pt idx="1">
                    <c:v>LNG terminal</c:v>
                  </c:pt>
                  <c:pt idx="2">
                    <c:v>Storage</c:v>
                  </c:pt>
                  <c:pt idx="3">
                    <c:v>VIP</c:v>
                  </c:pt>
                  <c:pt idx="4">
                    <c:v>LNG terminal</c:v>
                  </c:pt>
                  <c:pt idx="5">
                    <c:v>Storage</c:v>
                  </c:pt>
                  <c:pt idx="6">
                    <c:v>Domestic exits</c:v>
                  </c:pt>
                </c:lvl>
                <c:lvl>
                  <c:pt idx="0">
                    <c:v>Entry points</c:v>
                  </c:pt>
                  <c:pt idx="3">
                    <c:v>Exit points</c:v>
                  </c:pt>
                </c:lvl>
              </c:multiLvlStrCache>
            </c:multiLvlStrRef>
          </c:cat>
          <c:val>
            <c:numRef>
              <c:f>RPM_vs_CWD_vs_Matrix!$C$4:$C$10</c:f>
              <c:numCache>
                <c:formatCode>0.0000</c:formatCode>
                <c:ptCount val="7"/>
                <c:pt idx="0">
                  <c:v>0.18499776619667357</c:v>
                </c:pt>
                <c:pt idx="1">
                  <c:v>0.17219025649065856</c:v>
                </c:pt>
                <c:pt idx="2">
                  <c:v>4.5722179057658616E-3</c:v>
                </c:pt>
                <c:pt idx="3">
                  <c:v>0</c:v>
                </c:pt>
                <c:pt idx="4">
                  <c:v>0</c:v>
                </c:pt>
                <c:pt idx="5">
                  <c:v>0</c:v>
                </c:pt>
                <c:pt idx="6">
                  <c:v>0.17201404877749671</c:v>
                </c:pt>
              </c:numCache>
            </c:numRef>
          </c:val>
          <c:extLst>
            <c:ext xmlns:c16="http://schemas.microsoft.com/office/drawing/2014/chart" uri="{C3380CC4-5D6E-409C-BE32-E72D297353CC}">
              <c16:uniqueId val="{00000000-02CA-4AB1-A15B-049B6E361B5D}"/>
            </c:ext>
          </c:extLst>
        </c:ser>
        <c:ser>
          <c:idx val="2"/>
          <c:order val="1"/>
          <c:tx>
            <c:strRef>
              <c:f>RPM_vs_CWD_vs_Matrix!$D$3</c:f>
              <c:strCache>
                <c:ptCount val="1"/>
                <c:pt idx="0">
                  <c:v>CWD (50%-50%)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RPM_vs_CWD_vs_Matrix!$A$4:$B$10</c:f>
              <c:multiLvlStrCache>
                <c:ptCount val="7"/>
                <c:lvl>
                  <c:pt idx="0">
                    <c:v>VIP</c:v>
                  </c:pt>
                  <c:pt idx="1">
                    <c:v>LNG terminal</c:v>
                  </c:pt>
                  <c:pt idx="2">
                    <c:v>Storage</c:v>
                  </c:pt>
                  <c:pt idx="3">
                    <c:v>VIP</c:v>
                  </c:pt>
                  <c:pt idx="4">
                    <c:v>LNG terminal</c:v>
                  </c:pt>
                  <c:pt idx="5">
                    <c:v>Storage</c:v>
                  </c:pt>
                  <c:pt idx="6">
                    <c:v>Domestic exits</c:v>
                  </c:pt>
                </c:lvl>
                <c:lvl>
                  <c:pt idx="0">
                    <c:v>Entry points</c:v>
                  </c:pt>
                  <c:pt idx="3">
                    <c:v>Exit points</c:v>
                  </c:pt>
                </c:lvl>
              </c:multiLvlStrCache>
            </c:multiLvlStrRef>
          </c:cat>
          <c:val>
            <c:numRef>
              <c:f>RPM_vs_CWD_vs_Matrix!$D$4:$D$10</c:f>
              <c:numCache>
                <c:formatCode>0.0000</c:formatCode>
                <c:ptCount val="7"/>
                <c:pt idx="0">
                  <c:v>0.2288976688050621</c:v>
                </c:pt>
                <c:pt idx="1">
                  <c:v>0.21871040555528265</c:v>
                </c:pt>
                <c:pt idx="2">
                  <c:v>5.933944072189664E-3</c:v>
                </c:pt>
                <c:pt idx="3">
                  <c:v>0.22122757202239504</c:v>
                </c:pt>
                <c:pt idx="4">
                  <c:v>0</c:v>
                </c:pt>
                <c:pt idx="5">
                  <c:v>6.2538905428542466E-3</c:v>
                </c:pt>
                <c:pt idx="6">
                  <c:v>0.14202543607090309</c:v>
                </c:pt>
              </c:numCache>
            </c:numRef>
          </c:val>
          <c:extLst>
            <c:ext xmlns:c16="http://schemas.microsoft.com/office/drawing/2014/chart" uri="{C3380CC4-5D6E-409C-BE32-E72D297353CC}">
              <c16:uniqueId val="{00000001-02CA-4AB1-A15B-049B6E361B5D}"/>
            </c:ext>
          </c:extLst>
        </c:ser>
        <c:ser>
          <c:idx val="1"/>
          <c:order val="2"/>
          <c:tx>
            <c:strRef>
              <c:f>RPM_vs_CWD_vs_Matrix!$E$3</c:f>
              <c:strCache>
                <c:ptCount val="1"/>
                <c:pt idx="0">
                  <c:v>Matrix (40%-60%)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RPM_vs_CWD_vs_Matrix!$A$4:$B$10</c:f>
              <c:multiLvlStrCache>
                <c:ptCount val="7"/>
                <c:lvl>
                  <c:pt idx="0">
                    <c:v>VIP</c:v>
                  </c:pt>
                  <c:pt idx="1">
                    <c:v>LNG terminal</c:v>
                  </c:pt>
                  <c:pt idx="2">
                    <c:v>Storage</c:v>
                  </c:pt>
                  <c:pt idx="3">
                    <c:v>VIP</c:v>
                  </c:pt>
                  <c:pt idx="4">
                    <c:v>LNG terminal</c:v>
                  </c:pt>
                  <c:pt idx="5">
                    <c:v>Storage</c:v>
                  </c:pt>
                  <c:pt idx="6">
                    <c:v>Domestic exits</c:v>
                  </c:pt>
                </c:lvl>
                <c:lvl>
                  <c:pt idx="0">
                    <c:v>Entry points</c:v>
                  </c:pt>
                  <c:pt idx="3">
                    <c:v>Exit points</c:v>
                  </c:pt>
                </c:lvl>
              </c:multiLvlStrCache>
            </c:multiLvlStrRef>
          </c:cat>
          <c:val>
            <c:numRef>
              <c:f>RPM_vs_CWD_vs_Matrix!$E$4:$E$10</c:f>
              <c:numCache>
                <c:formatCode>0.0000</c:formatCode>
                <c:ptCount val="7"/>
                <c:pt idx="0">
                  <c:v>0.23107172905115805</c:v>
                </c:pt>
                <c:pt idx="1">
                  <c:v>0.10409134093724992</c:v>
                </c:pt>
                <c:pt idx="2">
                  <c:v>3.2532594305460246E-4</c:v>
                </c:pt>
                <c:pt idx="3">
                  <c:v>0</c:v>
                </c:pt>
                <c:pt idx="4">
                  <c:v>0</c:v>
                </c:pt>
                <c:pt idx="5">
                  <c:v>0</c:v>
                </c:pt>
                <c:pt idx="6">
                  <c:v>0.16934395389551685</c:v>
                </c:pt>
              </c:numCache>
            </c:numRef>
          </c:val>
          <c:extLst>
            <c:ext xmlns:c16="http://schemas.microsoft.com/office/drawing/2014/chart" uri="{C3380CC4-5D6E-409C-BE32-E72D297353CC}">
              <c16:uniqueId val="{00000002-02CA-4AB1-A15B-049B6E361B5D}"/>
            </c:ext>
          </c:extLst>
        </c:ser>
        <c:dLbls>
          <c:showLegendKey val="0"/>
          <c:showVal val="0"/>
          <c:showCatName val="0"/>
          <c:showSerName val="0"/>
          <c:showPercent val="0"/>
          <c:showBubbleSize val="0"/>
        </c:dLbls>
        <c:gapWidth val="37"/>
        <c:overlap val="-25"/>
        <c:axId val="532048616"/>
        <c:axId val="532049008"/>
        <c:extLst/>
      </c:barChart>
      <c:catAx>
        <c:axId val="532048616"/>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pt-PT"/>
          </a:p>
        </c:txPr>
        <c:crossAx val="532049008"/>
        <c:crosses val="autoZero"/>
        <c:auto val="1"/>
        <c:lblAlgn val="ctr"/>
        <c:lblOffset val="100"/>
        <c:noMultiLvlLbl val="0"/>
      </c:catAx>
      <c:valAx>
        <c:axId val="53204900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0"/>
                  <a:t>€/[(kWh/d)/year]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0.00" sourceLinked="0"/>
        <c:majorTickMark val="none"/>
        <c:minorTickMark val="none"/>
        <c:tickLblPos val="high"/>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PT"/>
          </a:p>
        </c:txPr>
        <c:crossAx val="532048616"/>
        <c:crosses val="autoZero"/>
        <c:crossBetween val="between"/>
      </c:valAx>
      <c:spPr>
        <a:noFill/>
        <a:ln>
          <a:noFill/>
        </a:ln>
        <a:effectLst/>
      </c:spPr>
    </c:plotArea>
    <c:legend>
      <c:legendPos val="b"/>
      <c:layout>
        <c:manualLayout>
          <c:xMode val="edge"/>
          <c:yMode val="edge"/>
          <c:x val="1.0222222222222223E-3"/>
          <c:y val="0.93734467592592607"/>
          <c:w val="0.8628520833333333"/>
          <c:h val="5.316041666666666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noFill/>
      <a:round/>
    </a:ln>
    <a:effectLst/>
  </c:spPr>
  <c:txPr>
    <a:bodyPr/>
    <a:lstStyle/>
    <a:p>
      <a:pPr>
        <a:defRPr b="1"/>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PT"/>
              <a:t>TURT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lineChart>
        <c:grouping val="standard"/>
        <c:varyColors val="0"/>
        <c:ser>
          <c:idx val="0"/>
          <c:order val="0"/>
          <c:tx>
            <c:strRef>
              <c:f>'Short uses'!$F$36</c:f>
              <c:strCache>
                <c:ptCount val="1"/>
                <c:pt idx="0">
                  <c:v>Longas</c:v>
                </c:pt>
              </c:strCache>
            </c:strRef>
          </c:tx>
          <c:spPr>
            <a:ln w="28575" cap="rnd">
              <a:solidFill>
                <a:schemeClr val="accent1"/>
              </a:solidFill>
              <a:round/>
            </a:ln>
            <a:effectLst/>
          </c:spPr>
          <c:marker>
            <c:symbol val="none"/>
          </c:marker>
          <c:cat>
            <c:numRef>
              <c:f>'Short uses'!$E$37:$E$199</c:f>
              <c:numCache>
                <c:formatCode>#,##0</c:formatCode>
                <c:ptCount val="163"/>
                <c:pt idx="0">
                  <c:v>100000</c:v>
                </c:pt>
                <c:pt idx="1">
                  <c:v>200000</c:v>
                </c:pt>
                <c:pt idx="2">
                  <c:v>300000</c:v>
                </c:pt>
                <c:pt idx="3">
                  <c:v>400000</c:v>
                </c:pt>
                <c:pt idx="4">
                  <c:v>500000</c:v>
                </c:pt>
                <c:pt idx="5">
                  <c:v>600000</c:v>
                </c:pt>
                <c:pt idx="6">
                  <c:v>700000</c:v>
                </c:pt>
                <c:pt idx="7">
                  <c:v>800000</c:v>
                </c:pt>
                <c:pt idx="8">
                  <c:v>900000</c:v>
                </c:pt>
                <c:pt idx="9">
                  <c:v>1000000</c:v>
                </c:pt>
                <c:pt idx="10">
                  <c:v>1100000</c:v>
                </c:pt>
                <c:pt idx="11">
                  <c:v>1200000</c:v>
                </c:pt>
                <c:pt idx="12">
                  <c:v>1300000</c:v>
                </c:pt>
                <c:pt idx="13">
                  <c:v>1400000</c:v>
                </c:pt>
                <c:pt idx="14">
                  <c:v>1500000</c:v>
                </c:pt>
                <c:pt idx="15">
                  <c:v>1600000</c:v>
                </c:pt>
                <c:pt idx="16">
                  <c:v>1700000</c:v>
                </c:pt>
                <c:pt idx="17">
                  <c:v>1800000</c:v>
                </c:pt>
                <c:pt idx="18">
                  <c:v>1900000</c:v>
                </c:pt>
                <c:pt idx="19">
                  <c:v>2000000</c:v>
                </c:pt>
                <c:pt idx="20">
                  <c:v>2100000</c:v>
                </c:pt>
                <c:pt idx="21">
                  <c:v>2200000</c:v>
                </c:pt>
                <c:pt idx="22">
                  <c:v>2300000</c:v>
                </c:pt>
                <c:pt idx="23">
                  <c:v>2400000</c:v>
                </c:pt>
                <c:pt idx="24">
                  <c:v>2500000</c:v>
                </c:pt>
                <c:pt idx="25">
                  <c:v>2600000</c:v>
                </c:pt>
                <c:pt idx="26">
                  <c:v>2700000</c:v>
                </c:pt>
                <c:pt idx="27">
                  <c:v>2800000</c:v>
                </c:pt>
                <c:pt idx="28">
                  <c:v>2900000</c:v>
                </c:pt>
                <c:pt idx="29">
                  <c:v>3000000</c:v>
                </c:pt>
                <c:pt idx="30">
                  <c:v>3100000</c:v>
                </c:pt>
                <c:pt idx="31">
                  <c:v>3200000</c:v>
                </c:pt>
                <c:pt idx="32">
                  <c:v>3300000</c:v>
                </c:pt>
                <c:pt idx="33">
                  <c:v>3400000</c:v>
                </c:pt>
                <c:pt idx="34">
                  <c:v>3500000</c:v>
                </c:pt>
                <c:pt idx="35">
                  <c:v>3600000</c:v>
                </c:pt>
                <c:pt idx="36">
                  <c:v>3700000</c:v>
                </c:pt>
                <c:pt idx="37">
                  <c:v>3800000</c:v>
                </c:pt>
                <c:pt idx="38">
                  <c:v>3900000</c:v>
                </c:pt>
                <c:pt idx="39">
                  <c:v>4000000</c:v>
                </c:pt>
                <c:pt idx="40">
                  <c:v>4100000</c:v>
                </c:pt>
                <c:pt idx="41">
                  <c:v>4200000</c:v>
                </c:pt>
                <c:pt idx="42">
                  <c:v>4300000</c:v>
                </c:pt>
                <c:pt idx="43">
                  <c:v>4400000</c:v>
                </c:pt>
                <c:pt idx="44">
                  <c:v>4500000</c:v>
                </c:pt>
                <c:pt idx="45">
                  <c:v>4600000</c:v>
                </c:pt>
                <c:pt idx="46">
                  <c:v>4700000</c:v>
                </c:pt>
                <c:pt idx="47">
                  <c:v>4800000</c:v>
                </c:pt>
                <c:pt idx="48">
                  <c:v>4900000</c:v>
                </c:pt>
                <c:pt idx="49">
                  <c:v>5000000</c:v>
                </c:pt>
                <c:pt idx="50">
                  <c:v>5100000</c:v>
                </c:pt>
                <c:pt idx="51">
                  <c:v>5200000</c:v>
                </c:pt>
                <c:pt idx="52">
                  <c:v>5300000</c:v>
                </c:pt>
                <c:pt idx="53">
                  <c:v>5400000</c:v>
                </c:pt>
                <c:pt idx="54">
                  <c:v>5500000</c:v>
                </c:pt>
                <c:pt idx="55">
                  <c:v>5600000</c:v>
                </c:pt>
                <c:pt idx="56">
                  <c:v>5700000</c:v>
                </c:pt>
                <c:pt idx="57">
                  <c:v>5800000</c:v>
                </c:pt>
                <c:pt idx="58">
                  <c:v>5900000</c:v>
                </c:pt>
                <c:pt idx="59">
                  <c:v>6000000</c:v>
                </c:pt>
                <c:pt idx="60">
                  <c:v>6100000</c:v>
                </c:pt>
                <c:pt idx="61">
                  <c:v>6200000</c:v>
                </c:pt>
                <c:pt idx="62">
                  <c:v>6300000</c:v>
                </c:pt>
                <c:pt idx="63">
                  <c:v>6400000</c:v>
                </c:pt>
                <c:pt idx="64">
                  <c:v>6500000</c:v>
                </c:pt>
                <c:pt idx="65">
                  <c:v>6600000</c:v>
                </c:pt>
                <c:pt idx="66">
                  <c:v>6700000</c:v>
                </c:pt>
                <c:pt idx="67">
                  <c:v>6800000</c:v>
                </c:pt>
                <c:pt idx="68">
                  <c:v>6900000</c:v>
                </c:pt>
                <c:pt idx="69">
                  <c:v>7000000</c:v>
                </c:pt>
                <c:pt idx="70">
                  <c:v>7100000</c:v>
                </c:pt>
                <c:pt idx="71">
                  <c:v>7200000</c:v>
                </c:pt>
                <c:pt idx="72">
                  <c:v>7300000</c:v>
                </c:pt>
                <c:pt idx="73">
                  <c:v>7400000</c:v>
                </c:pt>
                <c:pt idx="74">
                  <c:v>7500000</c:v>
                </c:pt>
                <c:pt idx="75">
                  <c:v>7600000</c:v>
                </c:pt>
                <c:pt idx="76">
                  <c:v>7700000</c:v>
                </c:pt>
                <c:pt idx="77">
                  <c:v>7800000</c:v>
                </c:pt>
                <c:pt idx="78">
                  <c:v>7900000</c:v>
                </c:pt>
                <c:pt idx="79">
                  <c:v>8000000</c:v>
                </c:pt>
                <c:pt idx="80">
                  <c:v>8100000</c:v>
                </c:pt>
                <c:pt idx="81">
                  <c:v>8200000</c:v>
                </c:pt>
                <c:pt idx="82">
                  <c:v>8300000</c:v>
                </c:pt>
                <c:pt idx="83">
                  <c:v>8400000</c:v>
                </c:pt>
                <c:pt idx="84">
                  <c:v>8500000</c:v>
                </c:pt>
                <c:pt idx="85">
                  <c:v>8600000</c:v>
                </c:pt>
                <c:pt idx="86">
                  <c:v>8700000</c:v>
                </c:pt>
                <c:pt idx="87">
                  <c:v>8800000</c:v>
                </c:pt>
                <c:pt idx="88">
                  <c:v>8900000</c:v>
                </c:pt>
                <c:pt idx="89">
                  <c:v>9000000</c:v>
                </c:pt>
                <c:pt idx="90">
                  <c:v>9100000</c:v>
                </c:pt>
                <c:pt idx="91">
                  <c:v>9200000</c:v>
                </c:pt>
                <c:pt idx="92">
                  <c:v>9300000</c:v>
                </c:pt>
                <c:pt idx="93">
                  <c:v>9400000</c:v>
                </c:pt>
                <c:pt idx="94">
                  <c:v>9500000</c:v>
                </c:pt>
                <c:pt idx="95">
                  <c:v>9600000</c:v>
                </c:pt>
                <c:pt idx="96">
                  <c:v>9700000</c:v>
                </c:pt>
                <c:pt idx="97">
                  <c:v>9800000</c:v>
                </c:pt>
                <c:pt idx="98">
                  <c:v>9900000</c:v>
                </c:pt>
                <c:pt idx="99">
                  <c:v>10000000</c:v>
                </c:pt>
                <c:pt idx="100">
                  <c:v>10100000</c:v>
                </c:pt>
                <c:pt idx="101">
                  <c:v>10200000</c:v>
                </c:pt>
                <c:pt idx="102">
                  <c:v>10300000</c:v>
                </c:pt>
                <c:pt idx="103">
                  <c:v>10400000</c:v>
                </c:pt>
                <c:pt idx="104">
                  <c:v>10500000</c:v>
                </c:pt>
                <c:pt idx="105">
                  <c:v>10600000</c:v>
                </c:pt>
                <c:pt idx="106">
                  <c:v>10700000</c:v>
                </c:pt>
                <c:pt idx="107">
                  <c:v>10800000</c:v>
                </c:pt>
                <c:pt idx="108">
                  <c:v>10900000</c:v>
                </c:pt>
                <c:pt idx="109">
                  <c:v>11000000</c:v>
                </c:pt>
                <c:pt idx="110">
                  <c:v>11100000</c:v>
                </c:pt>
                <c:pt idx="111">
                  <c:v>11200000</c:v>
                </c:pt>
                <c:pt idx="112">
                  <c:v>11300000</c:v>
                </c:pt>
                <c:pt idx="113">
                  <c:v>11400000</c:v>
                </c:pt>
                <c:pt idx="114">
                  <c:v>11500000</c:v>
                </c:pt>
                <c:pt idx="115">
                  <c:v>11600000</c:v>
                </c:pt>
                <c:pt idx="116">
                  <c:v>11700000</c:v>
                </c:pt>
                <c:pt idx="117">
                  <c:v>11800000</c:v>
                </c:pt>
                <c:pt idx="118">
                  <c:v>11900000</c:v>
                </c:pt>
                <c:pt idx="119">
                  <c:v>12000000</c:v>
                </c:pt>
                <c:pt idx="120">
                  <c:v>12100000</c:v>
                </c:pt>
                <c:pt idx="121">
                  <c:v>12200000</c:v>
                </c:pt>
                <c:pt idx="122">
                  <c:v>12300000</c:v>
                </c:pt>
                <c:pt idx="123">
                  <c:v>12400000</c:v>
                </c:pt>
                <c:pt idx="124">
                  <c:v>12500000</c:v>
                </c:pt>
                <c:pt idx="125">
                  <c:v>12600000</c:v>
                </c:pt>
                <c:pt idx="126">
                  <c:v>12700000</c:v>
                </c:pt>
                <c:pt idx="127">
                  <c:v>12800000</c:v>
                </c:pt>
                <c:pt idx="128">
                  <c:v>12900000</c:v>
                </c:pt>
                <c:pt idx="129">
                  <c:v>13000000</c:v>
                </c:pt>
                <c:pt idx="130">
                  <c:v>13100000</c:v>
                </c:pt>
                <c:pt idx="131">
                  <c:v>13200000</c:v>
                </c:pt>
                <c:pt idx="132">
                  <c:v>13300000</c:v>
                </c:pt>
                <c:pt idx="133">
                  <c:v>13400000</c:v>
                </c:pt>
                <c:pt idx="134">
                  <c:v>13500000</c:v>
                </c:pt>
                <c:pt idx="135">
                  <c:v>13600000</c:v>
                </c:pt>
                <c:pt idx="136">
                  <c:v>13700000</c:v>
                </c:pt>
                <c:pt idx="137">
                  <c:v>13800000</c:v>
                </c:pt>
                <c:pt idx="138">
                  <c:v>13900000</c:v>
                </c:pt>
                <c:pt idx="139">
                  <c:v>14000000</c:v>
                </c:pt>
                <c:pt idx="140">
                  <c:v>14100000</c:v>
                </c:pt>
                <c:pt idx="141">
                  <c:v>14200000</c:v>
                </c:pt>
                <c:pt idx="142">
                  <c:v>14300000</c:v>
                </c:pt>
                <c:pt idx="143">
                  <c:v>14400000</c:v>
                </c:pt>
                <c:pt idx="144">
                  <c:v>14500000</c:v>
                </c:pt>
                <c:pt idx="145">
                  <c:v>14600000</c:v>
                </c:pt>
                <c:pt idx="146">
                  <c:v>14700000</c:v>
                </c:pt>
                <c:pt idx="147">
                  <c:v>14800000</c:v>
                </c:pt>
                <c:pt idx="148">
                  <c:v>14900000</c:v>
                </c:pt>
                <c:pt idx="149">
                  <c:v>15000000</c:v>
                </c:pt>
                <c:pt idx="150">
                  <c:v>15100000</c:v>
                </c:pt>
                <c:pt idx="151">
                  <c:v>15200000</c:v>
                </c:pt>
                <c:pt idx="152">
                  <c:v>15300000</c:v>
                </c:pt>
                <c:pt idx="153">
                  <c:v>15400000</c:v>
                </c:pt>
                <c:pt idx="154">
                  <c:v>15500000</c:v>
                </c:pt>
                <c:pt idx="155">
                  <c:v>15600000</c:v>
                </c:pt>
                <c:pt idx="156">
                  <c:v>15700000</c:v>
                </c:pt>
                <c:pt idx="157">
                  <c:v>15800000</c:v>
                </c:pt>
                <c:pt idx="158">
                  <c:v>15900000</c:v>
                </c:pt>
                <c:pt idx="159">
                  <c:v>16000000</c:v>
                </c:pt>
                <c:pt idx="160">
                  <c:v>16100000</c:v>
                </c:pt>
                <c:pt idx="161">
                  <c:v>16200000</c:v>
                </c:pt>
                <c:pt idx="162">
                  <c:v>16300000</c:v>
                </c:pt>
              </c:numCache>
            </c:numRef>
          </c:cat>
          <c:val>
            <c:numRef>
              <c:f>'Short uses'!$F$37:$F$199</c:f>
              <c:numCache>
                <c:formatCode>General</c:formatCode>
                <c:ptCount val="163"/>
                <c:pt idx="0">
                  <c:v>0.93761154394086366</c:v>
                </c:pt>
                <c:pt idx="1">
                  <c:v>0.93761154394086366</c:v>
                </c:pt>
                <c:pt idx="2">
                  <c:v>0.93761154394086377</c:v>
                </c:pt>
                <c:pt idx="3">
                  <c:v>0.93761154394086366</c:v>
                </c:pt>
                <c:pt idx="4">
                  <c:v>0.93761154394086355</c:v>
                </c:pt>
                <c:pt idx="5">
                  <c:v>0.93761154394086377</c:v>
                </c:pt>
                <c:pt idx="6">
                  <c:v>0.93761154394086355</c:v>
                </c:pt>
                <c:pt idx="7">
                  <c:v>0.93761154394086366</c:v>
                </c:pt>
                <c:pt idx="8">
                  <c:v>0.93761154394086366</c:v>
                </c:pt>
                <c:pt idx="9">
                  <c:v>0.93761154394086355</c:v>
                </c:pt>
                <c:pt idx="10">
                  <c:v>0.93761154394086377</c:v>
                </c:pt>
                <c:pt idx="11">
                  <c:v>0.93761154394086377</c:v>
                </c:pt>
                <c:pt idx="12">
                  <c:v>0.93761154394086377</c:v>
                </c:pt>
                <c:pt idx="13">
                  <c:v>0.93761154394086355</c:v>
                </c:pt>
                <c:pt idx="14">
                  <c:v>0.93761154394086366</c:v>
                </c:pt>
                <c:pt idx="15">
                  <c:v>0.93761154394086366</c:v>
                </c:pt>
                <c:pt idx="16">
                  <c:v>0.93761154394086366</c:v>
                </c:pt>
                <c:pt idx="17">
                  <c:v>0.93761154394086366</c:v>
                </c:pt>
                <c:pt idx="18">
                  <c:v>0.93761154394086377</c:v>
                </c:pt>
                <c:pt idx="19">
                  <c:v>0.93761154394086355</c:v>
                </c:pt>
                <c:pt idx="20">
                  <c:v>0.93761154394086377</c:v>
                </c:pt>
                <c:pt idx="21">
                  <c:v>0.93761154394086377</c:v>
                </c:pt>
                <c:pt idx="22">
                  <c:v>0.93761154394086388</c:v>
                </c:pt>
                <c:pt idx="23">
                  <c:v>0.93761154394086377</c:v>
                </c:pt>
                <c:pt idx="24">
                  <c:v>0.93761154394086366</c:v>
                </c:pt>
                <c:pt idx="25">
                  <c:v>0.93761154394086377</c:v>
                </c:pt>
                <c:pt idx="26">
                  <c:v>0.93761154394086366</c:v>
                </c:pt>
                <c:pt idx="27">
                  <c:v>0.93761154394086355</c:v>
                </c:pt>
                <c:pt idx="28">
                  <c:v>0.93761154394086366</c:v>
                </c:pt>
                <c:pt idx="29">
                  <c:v>0.93761154394086366</c:v>
                </c:pt>
                <c:pt idx="30">
                  <c:v>0.93761154394086388</c:v>
                </c:pt>
                <c:pt idx="31">
                  <c:v>0.93761154394086366</c:v>
                </c:pt>
                <c:pt idx="32">
                  <c:v>0.93761154394086366</c:v>
                </c:pt>
                <c:pt idx="33">
                  <c:v>0.93761154394086366</c:v>
                </c:pt>
                <c:pt idx="34">
                  <c:v>0.93761154394086366</c:v>
                </c:pt>
                <c:pt idx="35">
                  <c:v>0.93761154394086366</c:v>
                </c:pt>
                <c:pt idx="36">
                  <c:v>0.93761154394086366</c:v>
                </c:pt>
                <c:pt idx="37">
                  <c:v>0.93761154394086377</c:v>
                </c:pt>
                <c:pt idx="38">
                  <c:v>0.93761154394086377</c:v>
                </c:pt>
                <c:pt idx="39">
                  <c:v>0.93761154394086355</c:v>
                </c:pt>
                <c:pt idx="40">
                  <c:v>0.93761154394086355</c:v>
                </c:pt>
                <c:pt idx="41">
                  <c:v>0.93761154394086377</c:v>
                </c:pt>
                <c:pt idx="42">
                  <c:v>0.93761154394086377</c:v>
                </c:pt>
                <c:pt idx="43">
                  <c:v>0.93761154394086377</c:v>
                </c:pt>
                <c:pt idx="44">
                  <c:v>0.93761154394086366</c:v>
                </c:pt>
                <c:pt idx="45">
                  <c:v>0.93761154394086388</c:v>
                </c:pt>
                <c:pt idx="46">
                  <c:v>0.93761154394086377</c:v>
                </c:pt>
                <c:pt idx="47">
                  <c:v>0.93761154394086377</c:v>
                </c:pt>
                <c:pt idx="48">
                  <c:v>0.93761154394086366</c:v>
                </c:pt>
                <c:pt idx="49">
                  <c:v>0.93761154394086366</c:v>
                </c:pt>
                <c:pt idx="50">
                  <c:v>0.93761154394086366</c:v>
                </c:pt>
                <c:pt idx="51">
                  <c:v>0.93761154394086377</c:v>
                </c:pt>
                <c:pt idx="52">
                  <c:v>0.93761154394086355</c:v>
                </c:pt>
                <c:pt idx="53">
                  <c:v>0.93761154394086366</c:v>
                </c:pt>
                <c:pt idx="54">
                  <c:v>0.93761154394086366</c:v>
                </c:pt>
                <c:pt idx="55">
                  <c:v>0.93761154394086355</c:v>
                </c:pt>
                <c:pt idx="56">
                  <c:v>0.93761154394086366</c:v>
                </c:pt>
                <c:pt idx="57">
                  <c:v>0.93761154394086366</c:v>
                </c:pt>
                <c:pt idx="58">
                  <c:v>0.93761154394086355</c:v>
                </c:pt>
                <c:pt idx="59">
                  <c:v>0.93761154394086366</c:v>
                </c:pt>
                <c:pt idx="60">
                  <c:v>0.93761154394086355</c:v>
                </c:pt>
                <c:pt idx="61">
                  <c:v>0.93761154394086388</c:v>
                </c:pt>
                <c:pt idx="62">
                  <c:v>0.93761154394086377</c:v>
                </c:pt>
                <c:pt idx="63">
                  <c:v>0.93761154394086366</c:v>
                </c:pt>
                <c:pt idx="64">
                  <c:v>0.93761154394086377</c:v>
                </c:pt>
                <c:pt idx="65">
                  <c:v>0.93761154394086366</c:v>
                </c:pt>
                <c:pt idx="66">
                  <c:v>0.93761154394086377</c:v>
                </c:pt>
                <c:pt idx="67">
                  <c:v>0.93761154394086366</c:v>
                </c:pt>
                <c:pt idx="68">
                  <c:v>0.93761154394086377</c:v>
                </c:pt>
                <c:pt idx="69">
                  <c:v>0.93761154394086366</c:v>
                </c:pt>
                <c:pt idx="70">
                  <c:v>0.93761154394086355</c:v>
                </c:pt>
                <c:pt idx="71">
                  <c:v>0.93761154394086366</c:v>
                </c:pt>
                <c:pt idx="72">
                  <c:v>0.93761154394086377</c:v>
                </c:pt>
                <c:pt idx="73">
                  <c:v>0.93761154394086366</c:v>
                </c:pt>
                <c:pt idx="74">
                  <c:v>0.93761154394086366</c:v>
                </c:pt>
                <c:pt idx="75">
                  <c:v>0.93761154394086377</c:v>
                </c:pt>
                <c:pt idx="76">
                  <c:v>0.93761154394086377</c:v>
                </c:pt>
                <c:pt idx="77">
                  <c:v>0.93761154394086377</c:v>
                </c:pt>
                <c:pt idx="78">
                  <c:v>0.93761154394086366</c:v>
                </c:pt>
                <c:pt idx="79">
                  <c:v>0.93761154394086355</c:v>
                </c:pt>
                <c:pt idx="80">
                  <c:v>0.93761154394086366</c:v>
                </c:pt>
                <c:pt idx="81">
                  <c:v>0.93761154394086355</c:v>
                </c:pt>
                <c:pt idx="82">
                  <c:v>0.93761154394086377</c:v>
                </c:pt>
                <c:pt idx="83">
                  <c:v>0.93761154394086377</c:v>
                </c:pt>
                <c:pt idx="84">
                  <c:v>0.93761154394086366</c:v>
                </c:pt>
                <c:pt idx="85">
                  <c:v>0.93761154394086377</c:v>
                </c:pt>
                <c:pt idx="86">
                  <c:v>0.93761154394086366</c:v>
                </c:pt>
                <c:pt idx="87">
                  <c:v>0.93761154394086377</c:v>
                </c:pt>
                <c:pt idx="88">
                  <c:v>0.93761154394086366</c:v>
                </c:pt>
                <c:pt idx="89">
                  <c:v>0.93761154394086366</c:v>
                </c:pt>
                <c:pt idx="90">
                  <c:v>0.93761154394086366</c:v>
                </c:pt>
                <c:pt idx="91">
                  <c:v>0.93761154394086388</c:v>
                </c:pt>
                <c:pt idx="92">
                  <c:v>0.93761154394086355</c:v>
                </c:pt>
                <c:pt idx="93">
                  <c:v>0.93761154394086377</c:v>
                </c:pt>
                <c:pt idx="94">
                  <c:v>0.93761154394086355</c:v>
                </c:pt>
                <c:pt idx="95">
                  <c:v>0.93761154394086377</c:v>
                </c:pt>
                <c:pt idx="96">
                  <c:v>0.93761154394086377</c:v>
                </c:pt>
                <c:pt idx="97">
                  <c:v>0.93761154394086366</c:v>
                </c:pt>
                <c:pt idx="98">
                  <c:v>0.93761154394086377</c:v>
                </c:pt>
                <c:pt idx="99">
                  <c:v>0.52238840665825814</c:v>
                </c:pt>
                <c:pt idx="100">
                  <c:v>0.52238840665825814</c:v>
                </c:pt>
                <c:pt idx="101">
                  <c:v>0.52238840665825803</c:v>
                </c:pt>
                <c:pt idx="102">
                  <c:v>0.52238840665825803</c:v>
                </c:pt>
                <c:pt idx="103">
                  <c:v>0.52238840665825803</c:v>
                </c:pt>
                <c:pt idx="104">
                  <c:v>0.52238840665825814</c:v>
                </c:pt>
                <c:pt idx="105">
                  <c:v>0.52238840665825803</c:v>
                </c:pt>
                <c:pt idx="106">
                  <c:v>0.52238840665825803</c:v>
                </c:pt>
                <c:pt idx="107">
                  <c:v>0.52238840665825814</c:v>
                </c:pt>
                <c:pt idx="108">
                  <c:v>0.52238840665825803</c:v>
                </c:pt>
                <c:pt idx="109">
                  <c:v>0.52238840665825803</c:v>
                </c:pt>
                <c:pt idx="110">
                  <c:v>0.52238840665825814</c:v>
                </c:pt>
                <c:pt idx="111">
                  <c:v>0.52238840665825803</c:v>
                </c:pt>
                <c:pt idx="112">
                  <c:v>0.52238840665825803</c:v>
                </c:pt>
                <c:pt idx="113">
                  <c:v>0.52238840665825803</c:v>
                </c:pt>
                <c:pt idx="114">
                  <c:v>0.52238840665825803</c:v>
                </c:pt>
                <c:pt idx="115">
                  <c:v>0.52238840665825814</c:v>
                </c:pt>
                <c:pt idx="116">
                  <c:v>0.52238840665825803</c:v>
                </c:pt>
                <c:pt idx="117">
                  <c:v>0.52238840665825803</c:v>
                </c:pt>
                <c:pt idx="118">
                  <c:v>0.52238840665825803</c:v>
                </c:pt>
                <c:pt idx="119">
                  <c:v>0.52238840665825803</c:v>
                </c:pt>
                <c:pt idx="120">
                  <c:v>0.52238840665825814</c:v>
                </c:pt>
                <c:pt idx="121">
                  <c:v>0.52238840665825803</c:v>
                </c:pt>
                <c:pt idx="122">
                  <c:v>0.52238840665825814</c:v>
                </c:pt>
                <c:pt idx="123">
                  <c:v>0.52238840665825803</c:v>
                </c:pt>
                <c:pt idx="124">
                  <c:v>0.52238840665825803</c:v>
                </c:pt>
                <c:pt idx="125">
                  <c:v>0.52238840665825814</c:v>
                </c:pt>
                <c:pt idx="126">
                  <c:v>0.52238840665825803</c:v>
                </c:pt>
                <c:pt idx="127">
                  <c:v>0.52238840665825814</c:v>
                </c:pt>
                <c:pt idx="128">
                  <c:v>0.52238840665825803</c:v>
                </c:pt>
                <c:pt idx="129">
                  <c:v>0.52238840665825803</c:v>
                </c:pt>
                <c:pt idx="130">
                  <c:v>0.52238840665825803</c:v>
                </c:pt>
                <c:pt idx="131">
                  <c:v>0.52238840665825803</c:v>
                </c:pt>
                <c:pt idx="132">
                  <c:v>0.52238840665825814</c:v>
                </c:pt>
                <c:pt idx="133">
                  <c:v>0.52238840665825803</c:v>
                </c:pt>
                <c:pt idx="134">
                  <c:v>0.52238840665825803</c:v>
                </c:pt>
                <c:pt idx="135">
                  <c:v>0.52238840665825803</c:v>
                </c:pt>
                <c:pt idx="136">
                  <c:v>0.52238840665825803</c:v>
                </c:pt>
                <c:pt idx="137">
                  <c:v>0.52238840665825814</c:v>
                </c:pt>
                <c:pt idx="138">
                  <c:v>0.52238840665825803</c:v>
                </c:pt>
                <c:pt idx="139">
                  <c:v>0.52238840665825803</c:v>
                </c:pt>
                <c:pt idx="140">
                  <c:v>0.52238840665825803</c:v>
                </c:pt>
                <c:pt idx="141">
                  <c:v>0.52238840665825814</c:v>
                </c:pt>
                <c:pt idx="142">
                  <c:v>0.52238840665825814</c:v>
                </c:pt>
                <c:pt idx="143">
                  <c:v>0.52238840665825814</c:v>
                </c:pt>
                <c:pt idx="144">
                  <c:v>0.52238840665825803</c:v>
                </c:pt>
                <c:pt idx="145">
                  <c:v>0.52238840665825803</c:v>
                </c:pt>
                <c:pt idx="146">
                  <c:v>0.52238840665825814</c:v>
                </c:pt>
                <c:pt idx="147">
                  <c:v>0.52238840665825803</c:v>
                </c:pt>
                <c:pt idx="148">
                  <c:v>0.52238840665825803</c:v>
                </c:pt>
                <c:pt idx="149">
                  <c:v>0.52238840665825803</c:v>
                </c:pt>
                <c:pt idx="150">
                  <c:v>0.52238840665825803</c:v>
                </c:pt>
                <c:pt idx="151">
                  <c:v>0.52238840665825803</c:v>
                </c:pt>
                <c:pt idx="152">
                  <c:v>0.52238840665825814</c:v>
                </c:pt>
                <c:pt idx="153">
                  <c:v>0.52238840665825814</c:v>
                </c:pt>
                <c:pt idx="154">
                  <c:v>0.52238840665825803</c:v>
                </c:pt>
                <c:pt idx="155">
                  <c:v>0.52238840665825814</c:v>
                </c:pt>
                <c:pt idx="156">
                  <c:v>0.52238840665825803</c:v>
                </c:pt>
                <c:pt idx="157">
                  <c:v>0.52238840665825803</c:v>
                </c:pt>
                <c:pt idx="158">
                  <c:v>0.52238840665825803</c:v>
                </c:pt>
                <c:pt idx="159">
                  <c:v>0.52238840665825803</c:v>
                </c:pt>
                <c:pt idx="160">
                  <c:v>0.52238840665825803</c:v>
                </c:pt>
                <c:pt idx="161">
                  <c:v>0.52238840665825803</c:v>
                </c:pt>
                <c:pt idx="162">
                  <c:v>0.52238840665825803</c:v>
                </c:pt>
              </c:numCache>
            </c:numRef>
          </c:val>
          <c:smooth val="0"/>
          <c:extLst>
            <c:ext xmlns:c16="http://schemas.microsoft.com/office/drawing/2014/chart" uri="{C3380CC4-5D6E-409C-BE32-E72D297353CC}">
              <c16:uniqueId val="{00000000-E8E0-482B-805B-65C59F16F0ED}"/>
            </c:ext>
          </c:extLst>
        </c:ser>
        <c:ser>
          <c:idx val="1"/>
          <c:order val="1"/>
          <c:tx>
            <c:strRef>
              <c:f>'Short uses'!$G$36</c:f>
              <c:strCache>
                <c:ptCount val="1"/>
                <c:pt idx="0">
                  <c:v>Curtas</c:v>
                </c:pt>
              </c:strCache>
            </c:strRef>
          </c:tx>
          <c:spPr>
            <a:ln w="28575" cap="rnd">
              <a:solidFill>
                <a:schemeClr val="accent2"/>
              </a:solidFill>
              <a:round/>
            </a:ln>
            <a:effectLst/>
          </c:spPr>
          <c:marker>
            <c:symbol val="none"/>
          </c:marker>
          <c:cat>
            <c:numRef>
              <c:f>'Short uses'!$E$37:$E$199</c:f>
              <c:numCache>
                <c:formatCode>#,##0</c:formatCode>
                <c:ptCount val="163"/>
                <c:pt idx="0">
                  <c:v>100000</c:v>
                </c:pt>
                <c:pt idx="1">
                  <c:v>200000</c:v>
                </c:pt>
                <c:pt idx="2">
                  <c:v>300000</c:v>
                </c:pt>
                <c:pt idx="3">
                  <c:v>400000</c:v>
                </c:pt>
                <c:pt idx="4">
                  <c:v>500000</c:v>
                </c:pt>
                <c:pt idx="5">
                  <c:v>600000</c:v>
                </c:pt>
                <c:pt idx="6">
                  <c:v>700000</c:v>
                </c:pt>
                <c:pt idx="7">
                  <c:v>800000</c:v>
                </c:pt>
                <c:pt idx="8">
                  <c:v>900000</c:v>
                </c:pt>
                <c:pt idx="9">
                  <c:v>1000000</c:v>
                </c:pt>
                <c:pt idx="10">
                  <c:v>1100000</c:v>
                </c:pt>
                <c:pt idx="11">
                  <c:v>1200000</c:v>
                </c:pt>
                <c:pt idx="12">
                  <c:v>1300000</c:v>
                </c:pt>
                <c:pt idx="13">
                  <c:v>1400000</c:v>
                </c:pt>
                <c:pt idx="14">
                  <c:v>1500000</c:v>
                </c:pt>
                <c:pt idx="15">
                  <c:v>1600000</c:v>
                </c:pt>
                <c:pt idx="16">
                  <c:v>1700000</c:v>
                </c:pt>
                <c:pt idx="17">
                  <c:v>1800000</c:v>
                </c:pt>
                <c:pt idx="18">
                  <c:v>1900000</c:v>
                </c:pt>
                <c:pt idx="19">
                  <c:v>2000000</c:v>
                </c:pt>
                <c:pt idx="20">
                  <c:v>2100000</c:v>
                </c:pt>
                <c:pt idx="21">
                  <c:v>2200000</c:v>
                </c:pt>
                <c:pt idx="22">
                  <c:v>2300000</c:v>
                </c:pt>
                <c:pt idx="23">
                  <c:v>2400000</c:v>
                </c:pt>
                <c:pt idx="24">
                  <c:v>2500000</c:v>
                </c:pt>
                <c:pt idx="25">
                  <c:v>2600000</c:v>
                </c:pt>
                <c:pt idx="26">
                  <c:v>2700000</c:v>
                </c:pt>
                <c:pt idx="27">
                  <c:v>2800000</c:v>
                </c:pt>
                <c:pt idx="28">
                  <c:v>2900000</c:v>
                </c:pt>
                <c:pt idx="29">
                  <c:v>3000000</c:v>
                </c:pt>
                <c:pt idx="30">
                  <c:v>3100000</c:v>
                </c:pt>
                <c:pt idx="31">
                  <c:v>3200000</c:v>
                </c:pt>
                <c:pt idx="32">
                  <c:v>3300000</c:v>
                </c:pt>
                <c:pt idx="33">
                  <c:v>3400000</c:v>
                </c:pt>
                <c:pt idx="34">
                  <c:v>3500000</c:v>
                </c:pt>
                <c:pt idx="35">
                  <c:v>3600000</c:v>
                </c:pt>
                <c:pt idx="36">
                  <c:v>3700000</c:v>
                </c:pt>
                <c:pt idx="37">
                  <c:v>3800000</c:v>
                </c:pt>
                <c:pt idx="38">
                  <c:v>3900000</c:v>
                </c:pt>
                <c:pt idx="39">
                  <c:v>4000000</c:v>
                </c:pt>
                <c:pt idx="40">
                  <c:v>4100000</c:v>
                </c:pt>
                <c:pt idx="41">
                  <c:v>4200000</c:v>
                </c:pt>
                <c:pt idx="42">
                  <c:v>4300000</c:v>
                </c:pt>
                <c:pt idx="43">
                  <c:v>4400000</c:v>
                </c:pt>
                <c:pt idx="44">
                  <c:v>4500000</c:v>
                </c:pt>
                <c:pt idx="45">
                  <c:v>4600000</c:v>
                </c:pt>
                <c:pt idx="46">
                  <c:v>4700000</c:v>
                </c:pt>
                <c:pt idx="47">
                  <c:v>4800000</c:v>
                </c:pt>
                <c:pt idx="48">
                  <c:v>4900000</c:v>
                </c:pt>
                <c:pt idx="49">
                  <c:v>5000000</c:v>
                </c:pt>
                <c:pt idx="50">
                  <c:v>5100000</c:v>
                </c:pt>
                <c:pt idx="51">
                  <c:v>5200000</c:v>
                </c:pt>
                <c:pt idx="52">
                  <c:v>5300000</c:v>
                </c:pt>
                <c:pt idx="53">
                  <c:v>5400000</c:v>
                </c:pt>
                <c:pt idx="54">
                  <c:v>5500000</c:v>
                </c:pt>
                <c:pt idx="55">
                  <c:v>5600000</c:v>
                </c:pt>
                <c:pt idx="56">
                  <c:v>5700000</c:v>
                </c:pt>
                <c:pt idx="57">
                  <c:v>5800000</c:v>
                </c:pt>
                <c:pt idx="58">
                  <c:v>5900000</c:v>
                </c:pt>
                <c:pt idx="59">
                  <c:v>6000000</c:v>
                </c:pt>
                <c:pt idx="60">
                  <c:v>6100000</c:v>
                </c:pt>
                <c:pt idx="61">
                  <c:v>6200000</c:v>
                </c:pt>
                <c:pt idx="62">
                  <c:v>6300000</c:v>
                </c:pt>
                <c:pt idx="63">
                  <c:v>6400000</c:v>
                </c:pt>
                <c:pt idx="64">
                  <c:v>6500000</c:v>
                </c:pt>
                <c:pt idx="65">
                  <c:v>6600000</c:v>
                </c:pt>
                <c:pt idx="66">
                  <c:v>6700000</c:v>
                </c:pt>
                <c:pt idx="67">
                  <c:v>6800000</c:v>
                </c:pt>
                <c:pt idx="68">
                  <c:v>6900000</c:v>
                </c:pt>
                <c:pt idx="69">
                  <c:v>7000000</c:v>
                </c:pt>
                <c:pt idx="70">
                  <c:v>7100000</c:v>
                </c:pt>
                <c:pt idx="71">
                  <c:v>7200000</c:v>
                </c:pt>
                <c:pt idx="72">
                  <c:v>7300000</c:v>
                </c:pt>
                <c:pt idx="73">
                  <c:v>7400000</c:v>
                </c:pt>
                <c:pt idx="74">
                  <c:v>7500000</c:v>
                </c:pt>
                <c:pt idx="75">
                  <c:v>7600000</c:v>
                </c:pt>
                <c:pt idx="76">
                  <c:v>7700000</c:v>
                </c:pt>
                <c:pt idx="77">
                  <c:v>7800000</c:v>
                </c:pt>
                <c:pt idx="78">
                  <c:v>7900000</c:v>
                </c:pt>
                <c:pt idx="79">
                  <c:v>8000000</c:v>
                </c:pt>
                <c:pt idx="80">
                  <c:v>8100000</c:v>
                </c:pt>
                <c:pt idx="81">
                  <c:v>8200000</c:v>
                </c:pt>
                <c:pt idx="82">
                  <c:v>8300000</c:v>
                </c:pt>
                <c:pt idx="83">
                  <c:v>8400000</c:v>
                </c:pt>
                <c:pt idx="84">
                  <c:v>8500000</c:v>
                </c:pt>
                <c:pt idx="85">
                  <c:v>8600000</c:v>
                </c:pt>
                <c:pt idx="86">
                  <c:v>8700000</c:v>
                </c:pt>
                <c:pt idx="87">
                  <c:v>8800000</c:v>
                </c:pt>
                <c:pt idx="88">
                  <c:v>8900000</c:v>
                </c:pt>
                <c:pt idx="89">
                  <c:v>9000000</c:v>
                </c:pt>
                <c:pt idx="90">
                  <c:v>9100000</c:v>
                </c:pt>
                <c:pt idx="91">
                  <c:v>9200000</c:v>
                </c:pt>
                <c:pt idx="92">
                  <c:v>9300000</c:v>
                </c:pt>
                <c:pt idx="93">
                  <c:v>9400000</c:v>
                </c:pt>
                <c:pt idx="94">
                  <c:v>9500000</c:v>
                </c:pt>
                <c:pt idx="95">
                  <c:v>9600000</c:v>
                </c:pt>
                <c:pt idx="96">
                  <c:v>9700000</c:v>
                </c:pt>
                <c:pt idx="97">
                  <c:v>9800000</c:v>
                </c:pt>
                <c:pt idx="98">
                  <c:v>9900000</c:v>
                </c:pt>
                <c:pt idx="99">
                  <c:v>10000000</c:v>
                </c:pt>
                <c:pt idx="100">
                  <c:v>10100000</c:v>
                </c:pt>
                <c:pt idx="101">
                  <c:v>10200000</c:v>
                </c:pt>
                <c:pt idx="102">
                  <c:v>10300000</c:v>
                </c:pt>
                <c:pt idx="103">
                  <c:v>10400000</c:v>
                </c:pt>
                <c:pt idx="104">
                  <c:v>10500000</c:v>
                </c:pt>
                <c:pt idx="105">
                  <c:v>10600000</c:v>
                </c:pt>
                <c:pt idx="106">
                  <c:v>10700000</c:v>
                </c:pt>
                <c:pt idx="107">
                  <c:v>10800000</c:v>
                </c:pt>
                <c:pt idx="108">
                  <c:v>10900000</c:v>
                </c:pt>
                <c:pt idx="109">
                  <c:v>11000000</c:v>
                </c:pt>
                <c:pt idx="110">
                  <c:v>11100000</c:v>
                </c:pt>
                <c:pt idx="111">
                  <c:v>11200000</c:v>
                </c:pt>
                <c:pt idx="112">
                  <c:v>11300000</c:v>
                </c:pt>
                <c:pt idx="113">
                  <c:v>11400000</c:v>
                </c:pt>
                <c:pt idx="114">
                  <c:v>11500000</c:v>
                </c:pt>
                <c:pt idx="115">
                  <c:v>11600000</c:v>
                </c:pt>
                <c:pt idx="116">
                  <c:v>11700000</c:v>
                </c:pt>
                <c:pt idx="117">
                  <c:v>11800000</c:v>
                </c:pt>
                <c:pt idx="118">
                  <c:v>11900000</c:v>
                </c:pt>
                <c:pt idx="119">
                  <c:v>12000000</c:v>
                </c:pt>
                <c:pt idx="120">
                  <c:v>12100000</c:v>
                </c:pt>
                <c:pt idx="121">
                  <c:v>12200000</c:v>
                </c:pt>
                <c:pt idx="122">
                  <c:v>12300000</c:v>
                </c:pt>
                <c:pt idx="123">
                  <c:v>12400000</c:v>
                </c:pt>
                <c:pt idx="124">
                  <c:v>12500000</c:v>
                </c:pt>
                <c:pt idx="125">
                  <c:v>12600000</c:v>
                </c:pt>
                <c:pt idx="126">
                  <c:v>12700000</c:v>
                </c:pt>
                <c:pt idx="127">
                  <c:v>12800000</c:v>
                </c:pt>
                <c:pt idx="128">
                  <c:v>12900000</c:v>
                </c:pt>
                <c:pt idx="129">
                  <c:v>13000000</c:v>
                </c:pt>
                <c:pt idx="130">
                  <c:v>13100000</c:v>
                </c:pt>
                <c:pt idx="131">
                  <c:v>13200000</c:v>
                </c:pt>
                <c:pt idx="132">
                  <c:v>13300000</c:v>
                </c:pt>
                <c:pt idx="133">
                  <c:v>13400000</c:v>
                </c:pt>
                <c:pt idx="134">
                  <c:v>13500000</c:v>
                </c:pt>
                <c:pt idx="135">
                  <c:v>13600000</c:v>
                </c:pt>
                <c:pt idx="136">
                  <c:v>13700000</c:v>
                </c:pt>
                <c:pt idx="137">
                  <c:v>13800000</c:v>
                </c:pt>
                <c:pt idx="138">
                  <c:v>13900000</c:v>
                </c:pt>
                <c:pt idx="139">
                  <c:v>14000000</c:v>
                </c:pt>
                <c:pt idx="140">
                  <c:v>14100000</c:v>
                </c:pt>
                <c:pt idx="141">
                  <c:v>14200000</c:v>
                </c:pt>
                <c:pt idx="142">
                  <c:v>14300000</c:v>
                </c:pt>
                <c:pt idx="143">
                  <c:v>14400000</c:v>
                </c:pt>
                <c:pt idx="144">
                  <c:v>14500000</c:v>
                </c:pt>
                <c:pt idx="145">
                  <c:v>14600000</c:v>
                </c:pt>
                <c:pt idx="146">
                  <c:v>14700000</c:v>
                </c:pt>
                <c:pt idx="147">
                  <c:v>14800000</c:v>
                </c:pt>
                <c:pt idx="148">
                  <c:v>14900000</c:v>
                </c:pt>
                <c:pt idx="149">
                  <c:v>15000000</c:v>
                </c:pt>
                <c:pt idx="150">
                  <c:v>15100000</c:v>
                </c:pt>
                <c:pt idx="151">
                  <c:v>15200000</c:v>
                </c:pt>
                <c:pt idx="152">
                  <c:v>15300000</c:v>
                </c:pt>
                <c:pt idx="153">
                  <c:v>15400000</c:v>
                </c:pt>
                <c:pt idx="154">
                  <c:v>15500000</c:v>
                </c:pt>
                <c:pt idx="155">
                  <c:v>15600000</c:v>
                </c:pt>
                <c:pt idx="156">
                  <c:v>15700000</c:v>
                </c:pt>
                <c:pt idx="157">
                  <c:v>15800000</c:v>
                </c:pt>
                <c:pt idx="158">
                  <c:v>15900000</c:v>
                </c:pt>
                <c:pt idx="159">
                  <c:v>16000000</c:v>
                </c:pt>
                <c:pt idx="160">
                  <c:v>16100000</c:v>
                </c:pt>
                <c:pt idx="161">
                  <c:v>16200000</c:v>
                </c:pt>
                <c:pt idx="162">
                  <c:v>16300000</c:v>
                </c:pt>
              </c:numCache>
            </c:numRef>
          </c:cat>
          <c:val>
            <c:numRef>
              <c:f>'Short uses'!$G$37:$G$199</c:f>
              <c:numCache>
                <c:formatCode>General</c:formatCode>
                <c:ptCount val="163"/>
                <c:pt idx="0">
                  <c:v>1.7233086093756351</c:v>
                </c:pt>
                <c:pt idx="1">
                  <c:v>1.7233086093756351</c:v>
                </c:pt>
                <c:pt idx="2">
                  <c:v>1.7233086093756347</c:v>
                </c:pt>
                <c:pt idx="3">
                  <c:v>1.7233086093756351</c:v>
                </c:pt>
                <c:pt idx="4">
                  <c:v>1.7233086093756349</c:v>
                </c:pt>
                <c:pt idx="5">
                  <c:v>1.7233086093756347</c:v>
                </c:pt>
                <c:pt idx="6">
                  <c:v>1.7233086093756351</c:v>
                </c:pt>
                <c:pt idx="7">
                  <c:v>1.7233086093756351</c:v>
                </c:pt>
                <c:pt idx="8">
                  <c:v>1.7233086093756353</c:v>
                </c:pt>
                <c:pt idx="9">
                  <c:v>1.7233086093756349</c:v>
                </c:pt>
                <c:pt idx="10">
                  <c:v>1.7233086093756349</c:v>
                </c:pt>
                <c:pt idx="11">
                  <c:v>1.7233086093756347</c:v>
                </c:pt>
                <c:pt idx="12">
                  <c:v>1.7233086093756351</c:v>
                </c:pt>
                <c:pt idx="13">
                  <c:v>1.7233086093756351</c:v>
                </c:pt>
                <c:pt idx="14">
                  <c:v>1.7233086093756351</c:v>
                </c:pt>
                <c:pt idx="15">
                  <c:v>1.7233086093756351</c:v>
                </c:pt>
                <c:pt idx="16">
                  <c:v>1.7233086093756351</c:v>
                </c:pt>
                <c:pt idx="17">
                  <c:v>1.7233086093756353</c:v>
                </c:pt>
                <c:pt idx="18">
                  <c:v>1.7233086093756351</c:v>
                </c:pt>
                <c:pt idx="19">
                  <c:v>1.7233086093756349</c:v>
                </c:pt>
                <c:pt idx="20">
                  <c:v>1.7233086093756351</c:v>
                </c:pt>
                <c:pt idx="21">
                  <c:v>1.7233086093756349</c:v>
                </c:pt>
                <c:pt idx="22">
                  <c:v>1.7233086093756351</c:v>
                </c:pt>
                <c:pt idx="23">
                  <c:v>1.7233086093756347</c:v>
                </c:pt>
                <c:pt idx="24">
                  <c:v>1.7233086093756349</c:v>
                </c:pt>
                <c:pt idx="25">
                  <c:v>1.7233086093756351</c:v>
                </c:pt>
                <c:pt idx="26">
                  <c:v>1.7233086093756349</c:v>
                </c:pt>
                <c:pt idx="27">
                  <c:v>1.7233086093756351</c:v>
                </c:pt>
                <c:pt idx="28">
                  <c:v>1.7233086093756353</c:v>
                </c:pt>
                <c:pt idx="29">
                  <c:v>1.7233086093756351</c:v>
                </c:pt>
                <c:pt idx="30">
                  <c:v>1.7233086093756349</c:v>
                </c:pt>
                <c:pt idx="31">
                  <c:v>1.7233086093756351</c:v>
                </c:pt>
                <c:pt idx="32">
                  <c:v>1.7233086093756349</c:v>
                </c:pt>
                <c:pt idx="33">
                  <c:v>1.7233086093756351</c:v>
                </c:pt>
                <c:pt idx="34">
                  <c:v>1.7233086093756351</c:v>
                </c:pt>
                <c:pt idx="35">
                  <c:v>1.7233086093756353</c:v>
                </c:pt>
                <c:pt idx="36">
                  <c:v>1.7233086093756351</c:v>
                </c:pt>
                <c:pt idx="37">
                  <c:v>1.7233086093756351</c:v>
                </c:pt>
                <c:pt idx="38">
                  <c:v>1.7233086093756351</c:v>
                </c:pt>
                <c:pt idx="39">
                  <c:v>1.7233086093756349</c:v>
                </c:pt>
                <c:pt idx="40">
                  <c:v>1.7233086093756351</c:v>
                </c:pt>
                <c:pt idx="41">
                  <c:v>1.7233086093756351</c:v>
                </c:pt>
                <c:pt idx="42">
                  <c:v>1.7233086093756349</c:v>
                </c:pt>
                <c:pt idx="43">
                  <c:v>1.7233086093756349</c:v>
                </c:pt>
                <c:pt idx="44">
                  <c:v>1.7233086093756353</c:v>
                </c:pt>
                <c:pt idx="45">
                  <c:v>1.7233086093756351</c:v>
                </c:pt>
                <c:pt idx="46">
                  <c:v>1.7233086093756349</c:v>
                </c:pt>
                <c:pt idx="47">
                  <c:v>1.7233086093756347</c:v>
                </c:pt>
                <c:pt idx="48">
                  <c:v>1.7233086093756353</c:v>
                </c:pt>
                <c:pt idx="49">
                  <c:v>1.7233086093756349</c:v>
                </c:pt>
                <c:pt idx="50">
                  <c:v>1.7233086093756349</c:v>
                </c:pt>
                <c:pt idx="51">
                  <c:v>1.7233086093756351</c:v>
                </c:pt>
                <c:pt idx="52">
                  <c:v>1.7233086093756353</c:v>
                </c:pt>
                <c:pt idx="53">
                  <c:v>1.7233086093756349</c:v>
                </c:pt>
                <c:pt idx="54">
                  <c:v>1.7233086093756349</c:v>
                </c:pt>
                <c:pt idx="55">
                  <c:v>1.7233086093756351</c:v>
                </c:pt>
                <c:pt idx="56">
                  <c:v>1.7233086093756349</c:v>
                </c:pt>
                <c:pt idx="57">
                  <c:v>1.7233086093756353</c:v>
                </c:pt>
                <c:pt idx="58">
                  <c:v>1.7233086093756353</c:v>
                </c:pt>
                <c:pt idx="59">
                  <c:v>1.7233086093756351</c:v>
                </c:pt>
                <c:pt idx="60">
                  <c:v>1.7233086093756351</c:v>
                </c:pt>
                <c:pt idx="61">
                  <c:v>1.7233086093756349</c:v>
                </c:pt>
                <c:pt idx="62">
                  <c:v>1.7233086093756351</c:v>
                </c:pt>
                <c:pt idx="63">
                  <c:v>1.7233086093756351</c:v>
                </c:pt>
                <c:pt idx="64">
                  <c:v>1.7233086093756351</c:v>
                </c:pt>
                <c:pt idx="65">
                  <c:v>1.7233086093756349</c:v>
                </c:pt>
                <c:pt idx="66">
                  <c:v>1.7233086093756353</c:v>
                </c:pt>
                <c:pt idx="67">
                  <c:v>1.7233086093756351</c:v>
                </c:pt>
                <c:pt idx="68">
                  <c:v>1.7233086093756349</c:v>
                </c:pt>
                <c:pt idx="69">
                  <c:v>1.7233086093756351</c:v>
                </c:pt>
                <c:pt idx="70">
                  <c:v>1.7233086093756351</c:v>
                </c:pt>
                <c:pt idx="71">
                  <c:v>1.7233086093756353</c:v>
                </c:pt>
                <c:pt idx="72">
                  <c:v>1.7233086093756349</c:v>
                </c:pt>
                <c:pt idx="73">
                  <c:v>1.7233086093756351</c:v>
                </c:pt>
                <c:pt idx="74">
                  <c:v>1.7233086093756353</c:v>
                </c:pt>
                <c:pt idx="75">
                  <c:v>1.7233086093756351</c:v>
                </c:pt>
                <c:pt idx="76">
                  <c:v>1.7233086093756353</c:v>
                </c:pt>
                <c:pt idx="77">
                  <c:v>1.7233086093756351</c:v>
                </c:pt>
                <c:pt idx="78">
                  <c:v>1.7233086093756351</c:v>
                </c:pt>
                <c:pt idx="79">
                  <c:v>1.7233086093756349</c:v>
                </c:pt>
                <c:pt idx="80">
                  <c:v>1.7233086093756349</c:v>
                </c:pt>
                <c:pt idx="81">
                  <c:v>1.7233086093756351</c:v>
                </c:pt>
                <c:pt idx="82">
                  <c:v>1.7233086093756353</c:v>
                </c:pt>
                <c:pt idx="83">
                  <c:v>1.7233086093756351</c:v>
                </c:pt>
                <c:pt idx="84">
                  <c:v>1.7233086093756351</c:v>
                </c:pt>
                <c:pt idx="85">
                  <c:v>1.7233086093756349</c:v>
                </c:pt>
                <c:pt idx="86">
                  <c:v>1.7233086093756351</c:v>
                </c:pt>
                <c:pt idx="87">
                  <c:v>1.7233086093756349</c:v>
                </c:pt>
                <c:pt idx="88">
                  <c:v>1.7233086093756351</c:v>
                </c:pt>
                <c:pt idx="89">
                  <c:v>1.7233086093756353</c:v>
                </c:pt>
                <c:pt idx="90">
                  <c:v>1.7233086093756349</c:v>
                </c:pt>
                <c:pt idx="91">
                  <c:v>1.7233086093756351</c:v>
                </c:pt>
                <c:pt idx="92">
                  <c:v>1.7233086093756351</c:v>
                </c:pt>
                <c:pt idx="93">
                  <c:v>1.7233086093756349</c:v>
                </c:pt>
                <c:pt idx="94">
                  <c:v>1.7233086093756351</c:v>
                </c:pt>
                <c:pt idx="95">
                  <c:v>1.7233086093756347</c:v>
                </c:pt>
                <c:pt idx="96">
                  <c:v>1.7233086093756351</c:v>
                </c:pt>
                <c:pt idx="97">
                  <c:v>1.7233086093756353</c:v>
                </c:pt>
                <c:pt idx="98">
                  <c:v>1.7233086093756353</c:v>
                </c:pt>
                <c:pt idx="99">
                  <c:v>1.3080854720930293</c:v>
                </c:pt>
                <c:pt idx="100">
                  <c:v>1.3080854720930295</c:v>
                </c:pt>
                <c:pt idx="101">
                  <c:v>1.3080854720930297</c:v>
                </c:pt>
                <c:pt idx="102">
                  <c:v>1.3080854720930293</c:v>
                </c:pt>
                <c:pt idx="103">
                  <c:v>1.3080854720930295</c:v>
                </c:pt>
                <c:pt idx="104">
                  <c:v>1.3080854720930295</c:v>
                </c:pt>
                <c:pt idx="105">
                  <c:v>1.3080854720930295</c:v>
                </c:pt>
                <c:pt idx="106">
                  <c:v>1.3080854720930295</c:v>
                </c:pt>
                <c:pt idx="107">
                  <c:v>1.3080854720930295</c:v>
                </c:pt>
                <c:pt idx="108">
                  <c:v>1.3080854720930293</c:v>
                </c:pt>
                <c:pt idx="109">
                  <c:v>1.3080854720930295</c:v>
                </c:pt>
                <c:pt idx="110">
                  <c:v>1.3080854720930295</c:v>
                </c:pt>
                <c:pt idx="111">
                  <c:v>1.3080854720930295</c:v>
                </c:pt>
                <c:pt idx="112">
                  <c:v>1.3080854720930295</c:v>
                </c:pt>
                <c:pt idx="113">
                  <c:v>1.3080854720930295</c:v>
                </c:pt>
                <c:pt idx="114">
                  <c:v>1.3080854720930297</c:v>
                </c:pt>
                <c:pt idx="115">
                  <c:v>1.3080854720930293</c:v>
                </c:pt>
                <c:pt idx="116">
                  <c:v>1.3080854720930293</c:v>
                </c:pt>
                <c:pt idx="117">
                  <c:v>1.3080854720930293</c:v>
                </c:pt>
                <c:pt idx="118">
                  <c:v>1.3080854720930295</c:v>
                </c:pt>
                <c:pt idx="119">
                  <c:v>1.3080854720930297</c:v>
                </c:pt>
                <c:pt idx="120">
                  <c:v>1.3080854720930295</c:v>
                </c:pt>
                <c:pt idx="121">
                  <c:v>1.3080854720930295</c:v>
                </c:pt>
                <c:pt idx="122">
                  <c:v>1.3080854720930295</c:v>
                </c:pt>
                <c:pt idx="123">
                  <c:v>1.3080854720930295</c:v>
                </c:pt>
                <c:pt idx="124">
                  <c:v>1.3080854720930293</c:v>
                </c:pt>
                <c:pt idx="125">
                  <c:v>1.3080854720930293</c:v>
                </c:pt>
                <c:pt idx="126">
                  <c:v>1.3080854720930295</c:v>
                </c:pt>
                <c:pt idx="127">
                  <c:v>1.3080854720930293</c:v>
                </c:pt>
                <c:pt idx="128">
                  <c:v>1.3080854720930295</c:v>
                </c:pt>
                <c:pt idx="129">
                  <c:v>1.3080854720930295</c:v>
                </c:pt>
                <c:pt idx="130">
                  <c:v>1.3080854720930297</c:v>
                </c:pt>
                <c:pt idx="131">
                  <c:v>1.3080854720930295</c:v>
                </c:pt>
                <c:pt idx="132">
                  <c:v>1.3080854720930293</c:v>
                </c:pt>
                <c:pt idx="133">
                  <c:v>1.3080854720930295</c:v>
                </c:pt>
                <c:pt idx="134">
                  <c:v>1.3080854720930295</c:v>
                </c:pt>
                <c:pt idx="135">
                  <c:v>1.3080854720930295</c:v>
                </c:pt>
                <c:pt idx="136">
                  <c:v>1.3080854720930295</c:v>
                </c:pt>
                <c:pt idx="137">
                  <c:v>1.3080854720930297</c:v>
                </c:pt>
                <c:pt idx="138">
                  <c:v>1.3080854720930293</c:v>
                </c:pt>
                <c:pt idx="139">
                  <c:v>1.3080854720930295</c:v>
                </c:pt>
                <c:pt idx="140">
                  <c:v>1.3080854720930295</c:v>
                </c:pt>
                <c:pt idx="141">
                  <c:v>1.3080854720930295</c:v>
                </c:pt>
                <c:pt idx="142">
                  <c:v>1.3080854720930295</c:v>
                </c:pt>
                <c:pt idx="143">
                  <c:v>1.3080854720930297</c:v>
                </c:pt>
                <c:pt idx="144">
                  <c:v>1.3080854720930295</c:v>
                </c:pt>
                <c:pt idx="145">
                  <c:v>1.3080854720930293</c:v>
                </c:pt>
                <c:pt idx="146">
                  <c:v>1.3080854720930295</c:v>
                </c:pt>
                <c:pt idx="147">
                  <c:v>1.3080854720930295</c:v>
                </c:pt>
                <c:pt idx="148">
                  <c:v>1.3080854720930297</c:v>
                </c:pt>
                <c:pt idx="149">
                  <c:v>1.3080854720930295</c:v>
                </c:pt>
                <c:pt idx="150">
                  <c:v>1.3080854720930297</c:v>
                </c:pt>
                <c:pt idx="151">
                  <c:v>1.3080854720930295</c:v>
                </c:pt>
                <c:pt idx="152">
                  <c:v>1.3080854720930293</c:v>
                </c:pt>
                <c:pt idx="153">
                  <c:v>1.3080854720930297</c:v>
                </c:pt>
                <c:pt idx="154">
                  <c:v>1.3080854720930295</c:v>
                </c:pt>
                <c:pt idx="155">
                  <c:v>1.3080854720930297</c:v>
                </c:pt>
                <c:pt idx="156">
                  <c:v>1.3080854720930295</c:v>
                </c:pt>
                <c:pt idx="157">
                  <c:v>1.3080854720930293</c:v>
                </c:pt>
                <c:pt idx="158">
                  <c:v>1.3080854720930295</c:v>
                </c:pt>
                <c:pt idx="159">
                  <c:v>1.3080854720930295</c:v>
                </c:pt>
                <c:pt idx="160">
                  <c:v>1.3080854720930297</c:v>
                </c:pt>
                <c:pt idx="161">
                  <c:v>1.3080854720930293</c:v>
                </c:pt>
                <c:pt idx="162">
                  <c:v>1.3080854720930293</c:v>
                </c:pt>
              </c:numCache>
            </c:numRef>
          </c:val>
          <c:smooth val="0"/>
          <c:extLst>
            <c:ext xmlns:c16="http://schemas.microsoft.com/office/drawing/2014/chart" uri="{C3380CC4-5D6E-409C-BE32-E72D297353CC}">
              <c16:uniqueId val="{00000001-E8E0-482B-805B-65C59F16F0ED}"/>
            </c:ext>
          </c:extLst>
        </c:ser>
        <c:dLbls>
          <c:showLegendKey val="0"/>
          <c:showVal val="0"/>
          <c:showCatName val="0"/>
          <c:showSerName val="0"/>
          <c:showPercent val="0"/>
          <c:showBubbleSize val="0"/>
        </c:dLbls>
        <c:smooth val="0"/>
        <c:axId val="523634000"/>
        <c:axId val="523633608"/>
      </c:lineChart>
      <c:catAx>
        <c:axId val="52363400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23633608"/>
        <c:crosses val="autoZero"/>
        <c:auto val="1"/>
        <c:lblAlgn val="ctr"/>
        <c:lblOffset val="100"/>
        <c:noMultiLvlLbl val="0"/>
      </c:catAx>
      <c:valAx>
        <c:axId val="523633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€/MWh</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236340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57150</xdr:colOff>
      <xdr:row>32</xdr:row>
      <xdr:rowOff>142240</xdr:rowOff>
    </xdr:from>
    <xdr:to>
      <xdr:col>19</xdr:col>
      <xdr:colOff>1209675</xdr:colOff>
      <xdr:row>50</xdr:row>
      <xdr:rowOff>104775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428625</xdr:colOff>
      <xdr:row>88</xdr:row>
      <xdr:rowOff>9525</xdr:rowOff>
    </xdr:from>
    <xdr:to>
      <xdr:col>22</xdr:col>
      <xdr:colOff>1333500</xdr:colOff>
      <xdr:row>103</xdr:row>
      <xdr:rowOff>38100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594360</xdr:colOff>
      <xdr:row>0</xdr:row>
      <xdr:rowOff>175260</xdr:rowOff>
    </xdr:from>
    <xdr:to>
      <xdr:col>14</xdr:col>
      <xdr:colOff>258360</xdr:colOff>
      <xdr:row>24</xdr:row>
      <xdr:rowOff>83280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266701</xdr:colOff>
      <xdr:row>14</xdr:row>
      <xdr:rowOff>7621</xdr:rowOff>
    </xdr:from>
    <xdr:to>
      <xdr:col>17</xdr:col>
      <xdr:colOff>472441</xdr:colOff>
      <xdr:row>26</xdr:row>
      <xdr:rowOff>129541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428625</xdr:colOff>
      <xdr:row>88</xdr:row>
      <xdr:rowOff>9525</xdr:rowOff>
    </xdr:from>
    <xdr:to>
      <xdr:col>22</xdr:col>
      <xdr:colOff>1333500</xdr:colOff>
      <xdr:row>103</xdr:row>
      <xdr:rowOff>38100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428625</xdr:colOff>
      <xdr:row>88</xdr:row>
      <xdr:rowOff>9525</xdr:rowOff>
    </xdr:from>
    <xdr:to>
      <xdr:col>22</xdr:col>
      <xdr:colOff>1333500</xdr:colOff>
      <xdr:row>103</xdr:row>
      <xdr:rowOff>38100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419100</xdr:colOff>
      <xdr:row>2</xdr:row>
      <xdr:rowOff>38100</xdr:rowOff>
    </xdr:from>
    <xdr:to>
      <xdr:col>17</xdr:col>
      <xdr:colOff>83100</xdr:colOff>
      <xdr:row>25</xdr:row>
      <xdr:rowOff>144240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167640</xdr:colOff>
      <xdr:row>33</xdr:row>
      <xdr:rowOff>91440</xdr:rowOff>
    </xdr:from>
    <xdr:to>
      <xdr:col>15</xdr:col>
      <xdr:colOff>495300</xdr:colOff>
      <xdr:row>48</xdr:row>
      <xdr:rowOff>91440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1</xdr:col>
      <xdr:colOff>2628585</xdr:colOff>
      <xdr:row>3</xdr:row>
      <xdr:rowOff>41781</xdr:rowOff>
    </xdr:to>
    <xdr:pic>
      <xdr:nvPicPr>
        <xdr:cNvPr id="2" name="Imagem 1" descr="erse_logotipo_1.gif"/>
        <xdr:cNvPicPr>
          <a:picLocks noChangeAspect="1"/>
        </xdr:cNvPicPr>
      </xdr:nvPicPr>
      <xdr:blipFill>
        <a:blip xmlns:r="http://schemas.openxmlformats.org/officeDocument/2006/relationships" r:embed="rId1" cstate="print"/>
        <a:srcRect/>
        <a:stretch>
          <a:fillRect/>
        </a:stretch>
      </xdr:blipFill>
      <xdr:spPr bwMode="auto">
        <a:xfrm>
          <a:off x="466725" y="200025"/>
          <a:ext cx="2580960" cy="2608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topLeftCell="A5" workbookViewId="0">
      <selection activeCell="B23" sqref="B23"/>
    </sheetView>
  </sheetViews>
  <sheetFormatPr defaultColWidth="0" defaultRowHeight="14.4" zeroHeight="1"/>
  <cols>
    <col min="1" max="1" width="20.33203125" customWidth="1"/>
    <col min="2" max="2" width="180.88671875" customWidth="1"/>
    <col min="3" max="16384" width="8.88671875" hidden="1"/>
  </cols>
  <sheetData>
    <row r="1" spans="1:2"/>
    <row r="2" spans="1:2">
      <c r="A2" s="636" t="s">
        <v>493</v>
      </c>
      <c r="B2" s="636"/>
    </row>
    <row r="3" spans="1:2">
      <c r="B3" s="634" t="s">
        <v>530</v>
      </c>
    </row>
    <row r="4" spans="1:2" ht="195.6" customHeight="1">
      <c r="A4" s="635" t="s">
        <v>521</v>
      </c>
      <c r="B4" s="635"/>
    </row>
    <row r="5" spans="1:2">
      <c r="A5" s="1" t="s">
        <v>523</v>
      </c>
    </row>
    <row r="6" spans="1:2">
      <c r="A6" s="624" t="s">
        <v>499</v>
      </c>
      <c r="B6" s="624" t="s">
        <v>500</v>
      </c>
    </row>
    <row r="7" spans="1:2" ht="43.2">
      <c r="A7" s="631" t="s">
        <v>498</v>
      </c>
      <c r="B7" s="633" t="s">
        <v>518</v>
      </c>
    </row>
    <row r="8" spans="1:2">
      <c r="A8" s="631" t="s">
        <v>114</v>
      </c>
      <c r="B8" s="633" t="s">
        <v>501</v>
      </c>
    </row>
    <row r="9" spans="1:2">
      <c r="A9" s="631" t="s">
        <v>503</v>
      </c>
      <c r="B9" s="632" t="s">
        <v>524</v>
      </c>
    </row>
    <row r="10" spans="1:2" ht="28.8">
      <c r="A10" s="631" t="s">
        <v>504</v>
      </c>
      <c r="B10" s="633" t="s">
        <v>520</v>
      </c>
    </row>
    <row r="11" spans="1:2">
      <c r="A11" s="631" t="s">
        <v>505</v>
      </c>
      <c r="B11" s="633" t="s">
        <v>522</v>
      </c>
    </row>
    <row r="12" spans="1:2">
      <c r="A12" s="631" t="s">
        <v>506</v>
      </c>
      <c r="B12" s="633" t="s">
        <v>525</v>
      </c>
    </row>
    <row r="13" spans="1:2">
      <c r="A13" s="631" t="s">
        <v>145</v>
      </c>
      <c r="B13" s="633" t="s">
        <v>526</v>
      </c>
    </row>
    <row r="14" spans="1:2" ht="28.8">
      <c r="A14" s="631" t="s">
        <v>507</v>
      </c>
      <c r="B14" s="633" t="s">
        <v>527</v>
      </c>
    </row>
    <row r="15" spans="1:2" ht="28.8">
      <c r="A15" s="631" t="s">
        <v>508</v>
      </c>
      <c r="B15" s="633" t="s">
        <v>528</v>
      </c>
    </row>
    <row r="16" spans="1:2">
      <c r="A16" s="631" t="s">
        <v>509</v>
      </c>
      <c r="B16" s="633" t="s">
        <v>529</v>
      </c>
    </row>
    <row r="17" spans="1:2">
      <c r="A17" s="631" t="s">
        <v>510</v>
      </c>
      <c r="B17" s="633" t="s">
        <v>531</v>
      </c>
    </row>
    <row r="18" spans="1:2">
      <c r="A18" s="631" t="s">
        <v>511</v>
      </c>
      <c r="B18" s="633" t="s">
        <v>532</v>
      </c>
    </row>
    <row r="19" spans="1:2">
      <c r="A19" s="631" t="s">
        <v>124</v>
      </c>
      <c r="B19" s="633" t="s">
        <v>533</v>
      </c>
    </row>
    <row r="20" spans="1:2">
      <c r="A20" s="631" t="s">
        <v>512</v>
      </c>
      <c r="B20" s="633" t="s">
        <v>534</v>
      </c>
    </row>
    <row r="21" spans="1:2">
      <c r="A21" s="631" t="s">
        <v>494</v>
      </c>
      <c r="B21" s="633" t="s">
        <v>534</v>
      </c>
    </row>
    <row r="22" spans="1:2">
      <c r="A22" s="631" t="s">
        <v>513</v>
      </c>
      <c r="B22" s="633" t="s">
        <v>558</v>
      </c>
    </row>
    <row r="23" spans="1:2">
      <c r="A23" s="631" t="s">
        <v>514</v>
      </c>
      <c r="B23" s="633" t="s">
        <v>535</v>
      </c>
    </row>
    <row r="24" spans="1:2">
      <c r="A24" s="631" t="s">
        <v>515</v>
      </c>
      <c r="B24" s="633" t="s">
        <v>535</v>
      </c>
    </row>
    <row r="25" spans="1:2">
      <c r="A25" s="631" t="s">
        <v>516</v>
      </c>
      <c r="B25" s="633" t="s">
        <v>535</v>
      </c>
    </row>
    <row r="26" spans="1:2">
      <c r="A26" s="631" t="s">
        <v>517</v>
      </c>
      <c r="B26" s="633" t="s">
        <v>535</v>
      </c>
    </row>
  </sheetData>
  <mergeCells count="2">
    <mergeCell ref="A4:B4"/>
    <mergeCell ref="A2:B2"/>
  </mergeCells>
  <hyperlinks>
    <hyperlink ref="A7" location="Inputs!A1" display="Inputs"/>
    <hyperlink ref="A8" location="'Transmission tariffs'!A1" display="Transmission tariffs"/>
    <hyperlink ref="A9" location="RPM!A1" display="RPM"/>
    <hyperlink ref="A10" location="Reconcile_RPM!A1" display="Reconcile_RPM"/>
    <hyperlink ref="A11" location="RPM_vs_CWD!A1" display="RPM_vs_CWD"/>
    <hyperlink ref="A12" location="CAA_RPM!A1" display="CAA_RPM"/>
    <hyperlink ref="A13" location="CWD!A1" display="CWD"/>
    <hyperlink ref="A14" location="Reconcile_CWD!A1" display="Reconcile_CWD"/>
    <hyperlink ref="A15" location="Reconcile_MATRIX!A1" display="Reconcile_Matrix"/>
    <hyperlink ref="A16" location="RPM_vs_CWD_vs_Matrix!A1" display="RPM_vs_CWD_Matrix"/>
    <hyperlink ref="A17" location="'Transmission tariffs_PT'!A1" display="Transmission tariffs_PT"/>
    <hyperlink ref="A18" location="List!A1" display="List"/>
    <hyperlink ref="A19" location="Distances!A1" display="Distances"/>
    <hyperlink ref="A20" location="UCC!A1" display="UCC"/>
    <hyperlink ref="A21" location="'Short uses'!A1" display="Short uses"/>
    <hyperlink ref="A22" location="'E-X Split'!A1" display="E-X split"/>
    <hyperlink ref="A23" location="Data_a!A1" display="Data_a"/>
    <hyperlink ref="A24" location="Data_b!A1" display="Data_b"/>
    <hyperlink ref="A25" location="Data_c!A1" display="Data_c"/>
    <hyperlink ref="A26" location="Data_d!A1" display="Data_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49"/>
  <sheetViews>
    <sheetView showGridLines="0" topLeftCell="A29" workbookViewId="0">
      <selection activeCell="B44" sqref="B44:C44"/>
    </sheetView>
  </sheetViews>
  <sheetFormatPr defaultColWidth="0" defaultRowHeight="14.4" zeroHeight="1"/>
  <cols>
    <col min="1" max="1" width="35.33203125" customWidth="1"/>
    <col min="2" max="2" width="11.109375" bestFit="1" customWidth="1"/>
    <col min="3" max="3" width="16" customWidth="1"/>
    <col min="4" max="6" width="14.109375" customWidth="1"/>
    <col min="7" max="7" width="12.21875" bestFit="1" customWidth="1"/>
    <col min="8" max="8" width="39.77734375" customWidth="1"/>
    <col min="9" max="16384" width="8.88671875" hidden="1"/>
  </cols>
  <sheetData>
    <row r="1" spans="1:8" ht="15" thickBot="1"/>
    <row r="2" spans="1:8" ht="15" thickBot="1">
      <c r="G2" s="94" t="s">
        <v>497</v>
      </c>
      <c r="H2" s="95"/>
    </row>
    <row r="3" spans="1:8" ht="58.2" thickBot="1">
      <c r="G3" s="622" t="s">
        <v>495</v>
      </c>
      <c r="H3" s="623" t="s">
        <v>496</v>
      </c>
    </row>
    <row r="4" spans="1:8" ht="15" thickBot="1">
      <c r="A4" s="90" t="s">
        <v>122</v>
      </c>
      <c r="B4" s="144"/>
      <c r="C4" s="145"/>
    </row>
    <row r="5" spans="1:8" ht="15" thickBot="1">
      <c r="A5" s="258" t="s">
        <v>123</v>
      </c>
      <c r="B5" s="259"/>
      <c r="C5" s="520">
        <v>92840000</v>
      </c>
    </row>
    <row r="6" spans="1:8" ht="15" thickBot="1"/>
    <row r="7" spans="1:8" ht="15" thickBot="1">
      <c r="A7" s="90" t="s">
        <v>492</v>
      </c>
      <c r="B7" s="144"/>
      <c r="C7" s="144"/>
      <c r="D7" s="144"/>
      <c r="E7" s="144"/>
      <c r="F7" s="145"/>
    </row>
    <row r="8" spans="1:8" ht="15" thickBot="1">
      <c r="A8" s="137" t="s">
        <v>189</v>
      </c>
      <c r="B8" s="138"/>
      <c r="C8" s="138"/>
      <c r="D8" s="138"/>
      <c r="E8" s="138"/>
      <c r="F8" s="139"/>
    </row>
    <row r="9" spans="1:8" ht="15" thickBot="1">
      <c r="A9" s="94" t="s">
        <v>162</v>
      </c>
      <c r="B9" s="142"/>
      <c r="C9" s="142"/>
      <c r="D9" s="142"/>
      <c r="E9" s="142"/>
      <c r="F9" s="143"/>
    </row>
    <row r="10" spans="1:8">
      <c r="A10" s="151" t="s">
        <v>164</v>
      </c>
      <c r="B10" s="155" t="s">
        <v>190</v>
      </c>
      <c r="C10" s="155" t="s">
        <v>192</v>
      </c>
      <c r="D10" s="155" t="s">
        <v>191</v>
      </c>
      <c r="E10" s="155" t="s">
        <v>193</v>
      </c>
      <c r="F10" s="286" t="s">
        <v>194</v>
      </c>
    </row>
    <row r="11" spans="1:8">
      <c r="A11" s="127"/>
      <c r="B11" s="105" t="s">
        <v>137</v>
      </c>
      <c r="C11" s="105" t="s">
        <v>137</v>
      </c>
      <c r="D11" s="105" t="s">
        <v>137</v>
      </c>
      <c r="E11" s="105" t="s">
        <v>137</v>
      </c>
      <c r="F11" s="287" t="s">
        <v>137</v>
      </c>
    </row>
    <row r="12" spans="1:8">
      <c r="A12" s="129" t="s">
        <v>107</v>
      </c>
      <c r="B12" s="108">
        <v>101055477.62499939</v>
      </c>
      <c r="C12" s="108">
        <v>3781413.2963089836</v>
      </c>
      <c r="D12" s="108">
        <v>3196185.2494030823</v>
      </c>
      <c r="E12" s="108">
        <v>6249731.2053220551</v>
      </c>
      <c r="F12" s="616">
        <v>0</v>
      </c>
    </row>
    <row r="13" spans="1:8">
      <c r="A13" s="129" t="s">
        <v>172</v>
      </c>
      <c r="B13" s="108">
        <v>57913063.754080206</v>
      </c>
      <c r="C13" s="108">
        <v>30470.538090372243</v>
      </c>
      <c r="D13" s="108">
        <v>5257079.8793693287</v>
      </c>
      <c r="E13" s="108">
        <v>8637860.6009332612</v>
      </c>
      <c r="F13" s="616">
        <v>0</v>
      </c>
    </row>
    <row r="14" spans="1:8">
      <c r="A14" s="129" t="s">
        <v>173</v>
      </c>
      <c r="B14" s="617"/>
      <c r="C14" s="617"/>
      <c r="D14" s="617"/>
      <c r="E14" s="108">
        <v>4552784.7835616451</v>
      </c>
      <c r="F14" s="147">
        <v>0</v>
      </c>
    </row>
    <row r="15" spans="1:8" ht="15" thickBot="1">
      <c r="A15" s="149"/>
      <c r="B15" s="150"/>
      <c r="C15" s="150"/>
      <c r="D15" s="150"/>
      <c r="E15" s="150"/>
      <c r="F15" s="134"/>
    </row>
    <row r="16" spans="1:8" ht="15" thickBot="1">
      <c r="A16" s="94" t="s">
        <v>163</v>
      </c>
      <c r="B16" s="142"/>
      <c r="C16" s="142"/>
      <c r="D16" s="142"/>
      <c r="E16" s="142"/>
      <c r="F16" s="143"/>
    </row>
    <row r="17" spans="1:6">
      <c r="A17" s="151" t="s">
        <v>164</v>
      </c>
      <c r="B17" s="155" t="s">
        <v>190</v>
      </c>
      <c r="C17" s="155" t="s">
        <v>192</v>
      </c>
      <c r="D17" s="155" t="s">
        <v>191</v>
      </c>
      <c r="E17" s="155" t="s">
        <v>193</v>
      </c>
      <c r="F17" s="286" t="s">
        <v>194</v>
      </c>
    </row>
    <row r="18" spans="1:6">
      <c r="A18" s="148"/>
      <c r="B18" s="105" t="s">
        <v>137</v>
      </c>
      <c r="C18" s="105" t="s">
        <v>137</v>
      </c>
      <c r="D18" s="105" t="s">
        <v>137</v>
      </c>
      <c r="E18" s="105" t="s">
        <v>137</v>
      </c>
      <c r="F18" s="287" t="s">
        <v>137</v>
      </c>
    </row>
    <row r="19" spans="1:6">
      <c r="A19" s="129" t="s">
        <v>107</v>
      </c>
      <c r="B19" s="146">
        <v>0</v>
      </c>
      <c r="C19" s="146">
        <v>0</v>
      </c>
      <c r="D19" s="146">
        <v>0</v>
      </c>
      <c r="E19" s="146">
        <v>0</v>
      </c>
      <c r="F19" s="147">
        <v>0</v>
      </c>
    </row>
    <row r="20" spans="1:6">
      <c r="A20" s="129" t="s">
        <v>172</v>
      </c>
      <c r="B20" s="146">
        <v>0</v>
      </c>
      <c r="C20" s="146">
        <v>0</v>
      </c>
      <c r="D20" s="146">
        <v>0</v>
      </c>
      <c r="E20" s="146">
        <v>0</v>
      </c>
      <c r="F20" s="147">
        <v>0</v>
      </c>
    </row>
    <row r="21" spans="1:6" ht="15" thickBot="1">
      <c r="A21" s="129" t="s">
        <v>173</v>
      </c>
      <c r="B21" s="617"/>
      <c r="C21" s="617"/>
      <c r="D21" s="617"/>
      <c r="E21" s="146">
        <v>0</v>
      </c>
      <c r="F21" s="147">
        <v>0</v>
      </c>
    </row>
    <row r="22" spans="1:6">
      <c r="A22" s="151" t="s">
        <v>185</v>
      </c>
      <c r="B22" s="155" t="s">
        <v>190</v>
      </c>
      <c r="C22" s="155" t="s">
        <v>192</v>
      </c>
      <c r="D22" s="155" t="s">
        <v>191</v>
      </c>
      <c r="E22" s="155" t="s">
        <v>193</v>
      </c>
      <c r="F22" s="286" t="s">
        <v>194</v>
      </c>
    </row>
    <row r="23" spans="1:6">
      <c r="A23" s="148"/>
      <c r="B23" s="105" t="s">
        <v>159</v>
      </c>
      <c r="C23" s="105" t="s">
        <v>159</v>
      </c>
      <c r="D23" s="105" t="s">
        <v>159</v>
      </c>
      <c r="E23" s="105" t="s">
        <v>159</v>
      </c>
      <c r="F23" s="287" t="s">
        <v>159</v>
      </c>
    </row>
    <row r="24" spans="1:6">
      <c r="A24" s="129" t="s">
        <v>107</v>
      </c>
      <c r="B24" s="146">
        <v>0</v>
      </c>
      <c r="C24" s="146">
        <v>0</v>
      </c>
      <c r="D24" s="146">
        <v>0</v>
      </c>
      <c r="E24" s="146">
        <v>0</v>
      </c>
      <c r="F24" s="147">
        <v>0</v>
      </c>
    </row>
    <row r="25" spans="1:6">
      <c r="A25" s="129" t="s">
        <v>172</v>
      </c>
      <c r="B25" s="146">
        <v>0</v>
      </c>
      <c r="C25" s="146">
        <v>0</v>
      </c>
      <c r="D25" s="146">
        <v>0</v>
      </c>
      <c r="E25" s="146">
        <v>0</v>
      </c>
      <c r="F25" s="147">
        <v>0</v>
      </c>
    </row>
    <row r="26" spans="1:6">
      <c r="A26" s="129" t="s">
        <v>173</v>
      </c>
      <c r="B26" s="617"/>
      <c r="C26" s="617"/>
      <c r="D26" s="617"/>
      <c r="E26" s="146">
        <v>0</v>
      </c>
      <c r="F26" s="147">
        <v>0</v>
      </c>
    </row>
    <row r="27" spans="1:6" ht="15" thickBot="1">
      <c r="A27" s="130"/>
      <c r="B27" s="29"/>
      <c r="C27" s="29"/>
      <c r="D27" s="29"/>
      <c r="E27" s="29"/>
      <c r="F27" s="131"/>
    </row>
    <row r="28" spans="1:6" ht="15" thickBot="1">
      <c r="A28" s="94" t="s">
        <v>186</v>
      </c>
      <c r="B28" s="142"/>
      <c r="C28" s="142"/>
      <c r="D28" s="142"/>
      <c r="E28" s="142"/>
      <c r="F28" s="143"/>
    </row>
    <row r="29" spans="1:6">
      <c r="A29" s="153" t="s">
        <v>187</v>
      </c>
      <c r="B29" s="155" t="s">
        <v>164</v>
      </c>
      <c r="C29" s="156" t="s">
        <v>164</v>
      </c>
      <c r="D29" s="155" t="s">
        <v>185</v>
      </c>
      <c r="E29" s="157"/>
      <c r="F29" s="618"/>
    </row>
    <row r="30" spans="1:6" ht="27.6">
      <c r="A30" s="154"/>
      <c r="B30" s="104" t="s">
        <v>539</v>
      </c>
      <c r="C30" s="104" t="s">
        <v>540</v>
      </c>
      <c r="D30" s="104" t="s">
        <v>539</v>
      </c>
      <c r="E30" s="104" t="s">
        <v>540</v>
      </c>
      <c r="F30" s="619"/>
    </row>
    <row r="31" spans="1:6">
      <c r="A31" s="127"/>
      <c r="B31" s="105" t="s">
        <v>137</v>
      </c>
      <c r="C31" s="105" t="s">
        <v>137</v>
      </c>
      <c r="D31" s="105" t="s">
        <v>159</v>
      </c>
      <c r="E31" s="105" t="s">
        <v>159</v>
      </c>
      <c r="F31" s="619"/>
    </row>
    <row r="32" spans="1:6">
      <c r="A32" s="129" t="s">
        <v>536</v>
      </c>
      <c r="B32" s="108">
        <v>865149.59396427777</v>
      </c>
      <c r="C32" s="108">
        <v>106056100.40603572</v>
      </c>
      <c r="D32" s="108">
        <v>202965594.74388081</v>
      </c>
      <c r="E32" s="108">
        <v>24880945035.751339</v>
      </c>
      <c r="F32" s="619"/>
    </row>
    <row r="33" spans="1:6">
      <c r="A33" s="129" t="s">
        <v>537</v>
      </c>
      <c r="B33" s="108">
        <v>845262.5</v>
      </c>
      <c r="C33" s="108">
        <v>56524854.5</v>
      </c>
      <c r="D33" s="108">
        <v>12541852.999999998</v>
      </c>
      <c r="E33" s="108">
        <v>16138854745.999998</v>
      </c>
      <c r="F33" s="619"/>
    </row>
    <row r="34" spans="1:6">
      <c r="A34" s="129" t="s">
        <v>538</v>
      </c>
      <c r="B34" s="109">
        <v>0</v>
      </c>
      <c r="C34" s="109">
        <v>0</v>
      </c>
      <c r="D34" s="109">
        <v>0</v>
      </c>
      <c r="E34" s="109">
        <v>0</v>
      </c>
      <c r="F34" s="619"/>
    </row>
    <row r="35" spans="1:6">
      <c r="A35" s="154" t="s">
        <v>187</v>
      </c>
      <c r="B35" s="103" t="s">
        <v>164</v>
      </c>
      <c r="C35" s="99" t="s">
        <v>164</v>
      </c>
      <c r="D35" s="103" t="s">
        <v>185</v>
      </c>
      <c r="E35" s="100"/>
      <c r="F35" s="619"/>
    </row>
    <row r="36" spans="1:6" ht="27.6">
      <c r="A36" s="127"/>
      <c r="B36" s="104" t="s">
        <v>547</v>
      </c>
      <c r="C36" s="106" t="s">
        <v>548</v>
      </c>
      <c r="D36" s="104"/>
      <c r="E36" s="107"/>
      <c r="F36" s="619"/>
    </row>
    <row r="37" spans="1:6">
      <c r="A37" s="127"/>
      <c r="B37" s="105" t="s">
        <v>137</v>
      </c>
      <c r="C37" s="105" t="s">
        <v>137</v>
      </c>
      <c r="D37" s="105" t="s">
        <v>159</v>
      </c>
      <c r="E37" s="102"/>
      <c r="F37" s="619"/>
    </row>
    <row r="38" spans="1:6">
      <c r="A38" s="129" t="s">
        <v>541</v>
      </c>
      <c r="B38" s="109">
        <v>0</v>
      </c>
      <c r="C38" s="109">
        <v>0</v>
      </c>
      <c r="D38" s="109">
        <v>0</v>
      </c>
      <c r="E38" s="617"/>
      <c r="F38" s="619"/>
    </row>
    <row r="39" spans="1:6">
      <c r="A39" s="154" t="s">
        <v>187</v>
      </c>
      <c r="B39" s="103" t="s">
        <v>164</v>
      </c>
      <c r="C39" s="99" t="s">
        <v>164</v>
      </c>
      <c r="D39" s="103" t="s">
        <v>185</v>
      </c>
      <c r="E39" s="100"/>
      <c r="F39" s="619"/>
    </row>
    <row r="40" spans="1:6" ht="27.6">
      <c r="A40" s="127"/>
      <c r="B40" s="104" t="s">
        <v>547</v>
      </c>
      <c r="C40" s="106" t="s">
        <v>548</v>
      </c>
      <c r="D40" s="104"/>
      <c r="E40" s="107"/>
      <c r="F40" s="619"/>
    </row>
    <row r="41" spans="1:6">
      <c r="A41" s="127"/>
      <c r="B41" s="105" t="s">
        <v>137</v>
      </c>
      <c r="C41" s="105" t="s">
        <v>137</v>
      </c>
      <c r="D41" s="105" t="s">
        <v>159</v>
      </c>
      <c r="E41" s="102"/>
      <c r="F41" s="619"/>
    </row>
    <row r="42" spans="1:6">
      <c r="A42" s="129" t="s">
        <v>543</v>
      </c>
      <c r="B42" s="108">
        <v>38083490.714015611</v>
      </c>
      <c r="C42" s="108">
        <v>39122186.885984398</v>
      </c>
      <c r="D42" s="108">
        <v>4152637227.5741305</v>
      </c>
      <c r="E42" s="617"/>
      <c r="F42" s="619"/>
    </row>
    <row r="43" spans="1:6">
      <c r="A43" s="154" t="s">
        <v>187</v>
      </c>
      <c r="B43" s="103" t="s">
        <v>164</v>
      </c>
      <c r="C43" s="99" t="s">
        <v>164</v>
      </c>
      <c r="D43" s="103" t="s">
        <v>185</v>
      </c>
      <c r="E43" s="100"/>
      <c r="F43" s="619"/>
    </row>
    <row r="44" spans="1:6">
      <c r="A44" s="127"/>
      <c r="B44" s="104" t="s">
        <v>545</v>
      </c>
      <c r="C44" s="106" t="s">
        <v>546</v>
      </c>
      <c r="D44" s="104"/>
      <c r="E44" s="107"/>
      <c r="F44" s="619"/>
    </row>
    <row r="45" spans="1:6">
      <c r="A45" s="127"/>
      <c r="B45" s="105" t="s">
        <v>137</v>
      </c>
      <c r="C45" s="105" t="s">
        <v>137</v>
      </c>
      <c r="D45" s="105" t="s">
        <v>159</v>
      </c>
      <c r="E45" s="102"/>
      <c r="F45" s="619"/>
    </row>
    <row r="46" spans="1:6">
      <c r="A46" s="129" t="s">
        <v>542</v>
      </c>
      <c r="B46" s="108">
        <v>64946273.353844963</v>
      </c>
      <c r="C46" s="108">
        <v>0</v>
      </c>
      <c r="D46" s="108">
        <v>13829735796.675871</v>
      </c>
      <c r="E46" s="617"/>
      <c r="F46" s="619"/>
    </row>
    <row r="47" spans="1:6">
      <c r="A47" s="154" t="s">
        <v>185</v>
      </c>
      <c r="B47" s="103"/>
      <c r="C47" s="99"/>
      <c r="D47" s="103" t="s">
        <v>185</v>
      </c>
      <c r="E47" s="100"/>
      <c r="F47" s="619"/>
    </row>
    <row r="48" spans="1:6">
      <c r="A48" s="127"/>
      <c r="B48" s="105"/>
      <c r="C48" s="101"/>
      <c r="D48" s="105" t="s">
        <v>159</v>
      </c>
      <c r="E48" s="102"/>
      <c r="F48" s="619"/>
    </row>
    <row r="49" spans="1:6" ht="15" thickBot="1">
      <c r="A49" s="132" t="s">
        <v>544</v>
      </c>
      <c r="B49" s="621"/>
      <c r="C49" s="621"/>
      <c r="D49" s="621"/>
      <c r="E49" s="621"/>
      <c r="F49" s="6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79"/>
  <sheetViews>
    <sheetView showGridLines="0" topLeftCell="B47" workbookViewId="0">
      <selection activeCell="H16" sqref="H16"/>
    </sheetView>
  </sheetViews>
  <sheetFormatPr defaultColWidth="0" defaultRowHeight="14.4" zeroHeight="1"/>
  <cols>
    <col min="1" max="1" width="8.88671875" customWidth="1"/>
    <col min="2" max="2" width="69.33203125" bestFit="1" customWidth="1"/>
    <col min="3" max="3" width="18" bestFit="1" customWidth="1"/>
    <col min="4" max="5" width="16.77734375" customWidth="1"/>
    <col min="6" max="6" width="7.6640625" customWidth="1"/>
    <col min="7" max="9" width="0" hidden="1" customWidth="1"/>
    <col min="10" max="16384" width="8.88671875" hidden="1"/>
  </cols>
  <sheetData>
    <row r="1" spans="2:6">
      <c r="B1" s="2" t="s">
        <v>519</v>
      </c>
    </row>
    <row r="2" spans="2:6"/>
    <row r="3" spans="2:6"/>
    <row r="4" spans="2:6"/>
    <row r="5" spans="2:6">
      <c r="B5" s="34" t="s">
        <v>162</v>
      </c>
    </row>
    <row r="6" spans="2:6">
      <c r="C6" s="463" t="s">
        <v>445</v>
      </c>
      <c r="D6" s="464" t="s">
        <v>446</v>
      </c>
      <c r="E6" s="464" t="s">
        <v>447</v>
      </c>
      <c r="F6" s="465" t="s">
        <v>274</v>
      </c>
    </row>
    <row r="7" spans="2:6" ht="4.05" customHeight="1" thickBot="1">
      <c r="F7" s="358"/>
    </row>
    <row r="8" spans="2:6">
      <c r="B8" s="361" t="s">
        <v>455</v>
      </c>
      <c r="C8" s="362"/>
      <c r="D8" s="362"/>
      <c r="E8" s="362"/>
      <c r="F8" s="363"/>
    </row>
    <row r="9" spans="2:6">
      <c r="B9" s="359" t="s">
        <v>448</v>
      </c>
      <c r="C9" s="364" t="s">
        <v>454</v>
      </c>
      <c r="D9" s="467">
        <f>Data_d!D9</f>
        <v>3.3368999999999998E-4</v>
      </c>
      <c r="E9" s="625">
        <f>'Transmission tariffs_PT'!E6</f>
        <v>5.0684000000000005E-4</v>
      </c>
      <c r="F9" s="478">
        <f>E9/D9-1</f>
        <v>0.51889478258263688</v>
      </c>
    </row>
    <row r="10" spans="2:6">
      <c r="B10" s="359" t="s">
        <v>449</v>
      </c>
      <c r="C10" s="364" t="s">
        <v>454</v>
      </c>
      <c r="D10" s="467">
        <f>Data_d!D10</f>
        <v>4.3378999999999998E-4</v>
      </c>
      <c r="E10" s="625">
        <f>'Transmission tariffs_PT'!E7</f>
        <v>6.5890000000000002E-4</v>
      </c>
      <c r="F10" s="478">
        <f t="shared" ref="F10:F24" si="0">E10/D10-1</f>
        <v>0.51893773484865968</v>
      </c>
    </row>
    <row r="11" spans="2:6">
      <c r="B11" s="359" t="s">
        <v>450</v>
      </c>
      <c r="C11" s="364" t="s">
        <v>454</v>
      </c>
      <c r="D11" s="467">
        <f>Data_d!D11</f>
        <v>5.0053000000000001E-4</v>
      </c>
      <c r="E11" s="625">
        <f>'Transmission tariffs_PT'!E8</f>
        <v>7.6026000000000002E-4</v>
      </c>
      <c r="F11" s="478">
        <f t="shared" si="0"/>
        <v>0.51890995544722585</v>
      </c>
    </row>
    <row r="12" spans="2:6">
      <c r="B12" s="359" t="s">
        <v>451</v>
      </c>
      <c r="C12" s="364" t="s">
        <v>454</v>
      </c>
      <c r="D12" s="467">
        <f>Data_d!D12</f>
        <v>6.6737999999999997E-4</v>
      </c>
      <c r="E12" s="625">
        <f>'Transmission tariffs_PT'!E9</f>
        <v>1.01369E-3</v>
      </c>
      <c r="F12" s="478">
        <f t="shared" si="0"/>
        <v>0.51890976654979193</v>
      </c>
    </row>
    <row r="13" spans="2:6" ht="15" thickBot="1">
      <c r="B13" s="360" t="s">
        <v>452</v>
      </c>
      <c r="C13" s="365" t="s">
        <v>454</v>
      </c>
      <c r="D13" s="469">
        <f>Data_d!D13</f>
        <v>7.3410999999999995E-4</v>
      </c>
      <c r="E13" s="626">
        <f>'Transmission tariffs_PT'!E10</f>
        <v>1.11506E-3</v>
      </c>
      <c r="F13" s="479">
        <f t="shared" si="0"/>
        <v>0.51892768113770416</v>
      </c>
    </row>
    <row r="14" spans="2:6" ht="4.05" customHeight="1" thickBot="1">
      <c r="C14" s="366"/>
      <c r="D14" s="471"/>
      <c r="E14" s="627"/>
      <c r="F14" s="367"/>
    </row>
    <row r="15" spans="2:6">
      <c r="B15" s="361" t="s">
        <v>453</v>
      </c>
      <c r="C15" s="362"/>
      <c r="D15" s="472"/>
      <c r="E15" s="628"/>
      <c r="F15" s="363"/>
    </row>
    <row r="16" spans="2:6">
      <c r="B16" s="359" t="s">
        <v>448</v>
      </c>
      <c r="C16" s="364" t="s">
        <v>454</v>
      </c>
      <c r="D16" s="467">
        <f>Data_d!D15</f>
        <v>3.3368999999999998E-4</v>
      </c>
      <c r="E16" s="625">
        <f>'Transmission tariffs_PT'!E13</f>
        <v>4.7175E-4</v>
      </c>
      <c r="F16" s="478">
        <f t="shared" si="0"/>
        <v>0.41373730108783602</v>
      </c>
    </row>
    <row r="17" spans="2:6">
      <c r="B17" s="359" t="s">
        <v>449</v>
      </c>
      <c r="C17" s="364" t="s">
        <v>454</v>
      </c>
      <c r="D17" s="467">
        <f>Data_d!D16</f>
        <v>4.3378999999999998E-4</v>
      </c>
      <c r="E17" s="625">
        <f>'Transmission tariffs_PT'!E14</f>
        <v>6.1328000000000001E-4</v>
      </c>
      <c r="F17" s="478">
        <f t="shared" si="0"/>
        <v>0.41377164065561689</v>
      </c>
    </row>
    <row r="18" spans="2:6">
      <c r="B18" s="359" t="s">
        <v>450</v>
      </c>
      <c r="C18" s="364" t="s">
        <v>454</v>
      </c>
      <c r="D18" s="467">
        <f>Data_d!D17</f>
        <v>5.0053000000000001E-4</v>
      </c>
      <c r="E18" s="625">
        <f>'Transmission tariffs_PT'!E15</f>
        <v>7.0763E-4</v>
      </c>
      <c r="F18" s="478">
        <f t="shared" si="0"/>
        <v>0.41376141290232349</v>
      </c>
    </row>
    <row r="19" spans="2:6">
      <c r="B19" s="359" t="s">
        <v>451</v>
      </c>
      <c r="C19" s="364" t="s">
        <v>454</v>
      </c>
      <c r="D19" s="467">
        <f>Data_d!D18</f>
        <v>6.6737999999999997E-4</v>
      </c>
      <c r="E19" s="625">
        <f>'Transmission tariffs_PT'!E16</f>
        <v>9.4351000000000005E-4</v>
      </c>
      <c r="F19" s="478">
        <f t="shared" si="0"/>
        <v>0.41375228505499129</v>
      </c>
    </row>
    <row r="20" spans="2:6" ht="15" thickBot="1">
      <c r="B20" s="360" t="s">
        <v>452</v>
      </c>
      <c r="C20" s="365" t="s">
        <v>454</v>
      </c>
      <c r="D20" s="469">
        <f>Data_d!D19</f>
        <v>7.3410999999999995E-4</v>
      </c>
      <c r="E20" s="626">
        <f>'Transmission tariffs_PT'!E17</f>
        <v>1.03786E-3</v>
      </c>
      <c r="F20" s="479">
        <f t="shared" si="0"/>
        <v>0.41376632929669954</v>
      </c>
    </row>
    <row r="21" spans="2:6" ht="4.05" customHeight="1" thickBot="1">
      <c r="C21" s="366"/>
      <c r="D21" s="471"/>
      <c r="E21" s="627"/>
      <c r="F21" s="367"/>
    </row>
    <row r="22" spans="2:6">
      <c r="B22" s="361" t="s">
        <v>173</v>
      </c>
      <c r="C22" s="362"/>
      <c r="D22" s="472"/>
      <c r="E22" s="628"/>
      <c r="F22" s="363"/>
    </row>
    <row r="23" spans="2:6">
      <c r="B23" s="359" t="s">
        <v>451</v>
      </c>
      <c r="C23" s="364" t="s">
        <v>454</v>
      </c>
      <c r="D23" s="467">
        <f>Data_d!D21</f>
        <v>9.3600000000000002E-6</v>
      </c>
      <c r="E23" s="625">
        <f>'Transmission tariffs_PT'!E20</f>
        <v>1.253E-5</v>
      </c>
      <c r="F23" s="478">
        <f t="shared" si="0"/>
        <v>0.33867521367521358</v>
      </c>
    </row>
    <row r="24" spans="2:6" ht="15" thickBot="1">
      <c r="B24" s="360" t="s">
        <v>452</v>
      </c>
      <c r="C24" s="365" t="s">
        <v>454</v>
      </c>
      <c r="D24" s="469">
        <f>Data_d!D22</f>
        <v>1.03E-5</v>
      </c>
      <c r="E24" s="626">
        <f>'Transmission tariffs_PT'!E21</f>
        <v>1.378E-5</v>
      </c>
      <c r="F24" s="479">
        <f t="shared" si="0"/>
        <v>0.3378640776699029</v>
      </c>
    </row>
    <row r="25" spans="2:6">
      <c r="C25" s="366"/>
      <c r="D25" s="366"/>
      <c r="E25" s="366"/>
      <c r="F25" s="367"/>
    </row>
    <row r="26" spans="2:6">
      <c r="C26" s="366"/>
      <c r="D26" s="366"/>
      <c r="E26" s="366"/>
      <c r="F26" s="367"/>
    </row>
    <row r="27" spans="2:6">
      <c r="B27" s="34" t="s">
        <v>163</v>
      </c>
    </row>
    <row r="28" spans="2:6">
      <c r="C28" s="463" t="s">
        <v>445</v>
      </c>
      <c r="D28" s="464" t="s">
        <v>446</v>
      </c>
      <c r="E28" s="464" t="s">
        <v>447</v>
      </c>
      <c r="F28" s="465" t="s">
        <v>274</v>
      </c>
    </row>
    <row r="29" spans="2:6" ht="4.05" customHeight="1" thickBot="1">
      <c r="C29" s="366"/>
      <c r="D29" s="471"/>
      <c r="E29" s="471"/>
      <c r="F29" s="367"/>
    </row>
    <row r="30" spans="2:6">
      <c r="B30" s="361" t="s">
        <v>455</v>
      </c>
      <c r="C30" s="362"/>
      <c r="D30" s="362"/>
      <c r="E30" s="362"/>
      <c r="F30" s="363"/>
    </row>
    <row r="31" spans="2:6">
      <c r="B31" s="359" t="s">
        <v>448</v>
      </c>
      <c r="C31" s="364" t="s">
        <v>454</v>
      </c>
      <c r="D31" s="467">
        <v>0</v>
      </c>
      <c r="E31" s="625">
        <f>'Transmission tariffs_PT'!E28</f>
        <v>0</v>
      </c>
      <c r="F31" s="478" t="str">
        <f>IFERROR(E31/D31-1,"-")</f>
        <v>-</v>
      </c>
    </row>
    <row r="32" spans="2:6">
      <c r="B32" s="359" t="s">
        <v>449</v>
      </c>
      <c r="C32" s="364" t="s">
        <v>454</v>
      </c>
      <c r="D32" s="467">
        <v>0</v>
      </c>
      <c r="E32" s="625">
        <f>'Transmission tariffs_PT'!E29</f>
        <v>0</v>
      </c>
      <c r="F32" s="478" t="str">
        <f t="shared" ref="F32:F35" si="1">IFERROR(E32/D32-1,"-")</f>
        <v>-</v>
      </c>
    </row>
    <row r="33" spans="2:6">
      <c r="B33" s="359" t="s">
        <v>450</v>
      </c>
      <c r="C33" s="364" t="s">
        <v>454</v>
      </c>
      <c r="D33" s="467">
        <v>0</v>
      </c>
      <c r="E33" s="625">
        <f>'Transmission tariffs_PT'!E30</f>
        <v>0</v>
      </c>
      <c r="F33" s="478" t="str">
        <f t="shared" si="1"/>
        <v>-</v>
      </c>
    </row>
    <row r="34" spans="2:6">
      <c r="B34" s="359" t="s">
        <v>451</v>
      </c>
      <c r="C34" s="364" t="s">
        <v>454</v>
      </c>
      <c r="D34" s="467">
        <v>0</v>
      </c>
      <c r="E34" s="625">
        <f>'Transmission tariffs_PT'!E31</f>
        <v>0</v>
      </c>
      <c r="F34" s="478" t="str">
        <f t="shared" si="1"/>
        <v>-</v>
      </c>
    </row>
    <row r="35" spans="2:6" ht="15" thickBot="1">
      <c r="B35" s="360" t="s">
        <v>452</v>
      </c>
      <c r="C35" s="365" t="s">
        <v>454</v>
      </c>
      <c r="D35" s="469">
        <v>0</v>
      </c>
      <c r="E35" s="626">
        <f>'Transmission tariffs_PT'!E32</f>
        <v>0</v>
      </c>
      <c r="F35" s="479" t="str">
        <f t="shared" si="1"/>
        <v>-</v>
      </c>
    </row>
    <row r="36" spans="2:6" ht="4.05" customHeight="1" thickBot="1">
      <c r="C36" s="366"/>
      <c r="D36" s="471"/>
      <c r="E36" s="471"/>
      <c r="F36" s="367"/>
    </row>
    <row r="37" spans="2:6">
      <c r="B37" s="361" t="s">
        <v>453</v>
      </c>
      <c r="C37" s="362"/>
      <c r="D37" s="472"/>
      <c r="E37" s="472"/>
      <c r="F37" s="363"/>
    </row>
    <row r="38" spans="2:6">
      <c r="B38" s="359" t="s">
        <v>448</v>
      </c>
      <c r="C38" s="364" t="s">
        <v>454</v>
      </c>
      <c r="D38" s="467">
        <v>0</v>
      </c>
      <c r="E38" s="625">
        <f>'Transmission tariffs_PT'!E35</f>
        <v>0</v>
      </c>
      <c r="F38" s="478" t="str">
        <f t="shared" ref="F38:F42" si="2">IFERROR(E38/D38-1,"-")</f>
        <v>-</v>
      </c>
    </row>
    <row r="39" spans="2:6">
      <c r="B39" s="359" t="s">
        <v>449</v>
      </c>
      <c r="C39" s="364" t="s">
        <v>454</v>
      </c>
      <c r="D39" s="467">
        <v>0</v>
      </c>
      <c r="E39" s="625">
        <f>'Transmission tariffs_PT'!E36</f>
        <v>0</v>
      </c>
      <c r="F39" s="478" t="str">
        <f t="shared" si="2"/>
        <v>-</v>
      </c>
    </row>
    <row r="40" spans="2:6">
      <c r="B40" s="359" t="s">
        <v>450</v>
      </c>
      <c r="C40" s="364" t="s">
        <v>454</v>
      </c>
      <c r="D40" s="467">
        <v>0</v>
      </c>
      <c r="E40" s="625">
        <f>'Transmission tariffs_PT'!E37</f>
        <v>0</v>
      </c>
      <c r="F40" s="478" t="str">
        <f t="shared" si="2"/>
        <v>-</v>
      </c>
    </row>
    <row r="41" spans="2:6">
      <c r="B41" s="359" t="s">
        <v>451</v>
      </c>
      <c r="C41" s="364" t="s">
        <v>454</v>
      </c>
      <c r="D41" s="467">
        <v>0</v>
      </c>
      <c r="E41" s="625">
        <f>'Transmission tariffs_PT'!E38</f>
        <v>0</v>
      </c>
      <c r="F41" s="478" t="str">
        <f t="shared" si="2"/>
        <v>-</v>
      </c>
    </row>
    <row r="42" spans="2:6" ht="15" thickBot="1">
      <c r="B42" s="360" t="s">
        <v>452</v>
      </c>
      <c r="C42" s="365" t="s">
        <v>454</v>
      </c>
      <c r="D42" s="469">
        <v>0</v>
      </c>
      <c r="E42" s="626">
        <f>'Transmission tariffs_PT'!E39</f>
        <v>0</v>
      </c>
      <c r="F42" s="479" t="str">
        <f t="shared" si="2"/>
        <v>-</v>
      </c>
    </row>
    <row r="43" spans="2:6" ht="4.05" customHeight="1" thickBot="1">
      <c r="C43" s="366"/>
      <c r="D43" s="471"/>
      <c r="E43" s="627"/>
      <c r="F43" s="367"/>
    </row>
    <row r="44" spans="2:6">
      <c r="B44" s="361" t="s">
        <v>173</v>
      </c>
      <c r="C44" s="362"/>
      <c r="D44" s="472"/>
      <c r="E44" s="628"/>
      <c r="F44" s="363"/>
    </row>
    <row r="45" spans="2:6">
      <c r="B45" s="359" t="s">
        <v>451</v>
      </c>
      <c r="C45" s="364" t="s">
        <v>454</v>
      </c>
      <c r="D45" s="467">
        <v>0</v>
      </c>
      <c r="E45" s="625">
        <f>'Transmission tariffs_PT'!E42</f>
        <v>0</v>
      </c>
      <c r="F45" s="478" t="str">
        <f t="shared" ref="F45:F46" si="3">IFERROR(E45/D45-1,"-")</f>
        <v>-</v>
      </c>
    </row>
    <row r="46" spans="2:6" ht="15" thickBot="1">
      <c r="B46" s="360" t="s">
        <v>452</v>
      </c>
      <c r="C46" s="365" t="s">
        <v>454</v>
      </c>
      <c r="D46" s="469">
        <v>0</v>
      </c>
      <c r="E46" s="626">
        <f>'Transmission tariffs_PT'!E43</f>
        <v>0</v>
      </c>
      <c r="F46" s="479" t="str">
        <f t="shared" si="3"/>
        <v>-</v>
      </c>
    </row>
    <row r="47" spans="2:6" ht="15" thickBot="1">
      <c r="C47" s="366"/>
      <c r="D47" s="366"/>
      <c r="E47" s="629"/>
      <c r="F47" s="367"/>
    </row>
    <row r="48" spans="2:6">
      <c r="B48" s="361" t="s">
        <v>456</v>
      </c>
      <c r="C48" s="362"/>
      <c r="D48" s="472"/>
      <c r="E48" s="628"/>
      <c r="F48" s="363"/>
    </row>
    <row r="49" spans="2:6" ht="15" thickBot="1">
      <c r="B49" s="360" t="s">
        <v>185</v>
      </c>
      <c r="C49" s="365" t="s">
        <v>184</v>
      </c>
      <c r="D49" s="469">
        <v>0</v>
      </c>
      <c r="E49" s="626">
        <f>'Transmission tariffs_PT'!E46</f>
        <v>1.9640000000000002E-5</v>
      </c>
      <c r="F49" s="479" t="str">
        <f>IFERROR(E49/D49-1,"-")</f>
        <v>-</v>
      </c>
    </row>
    <row r="50" spans="2:6"/>
    <row r="51" spans="2:6">
      <c r="B51" s="34" t="s">
        <v>163</v>
      </c>
    </row>
    <row r="52" spans="2:6">
      <c r="C52" s="463" t="s">
        <v>445</v>
      </c>
      <c r="D52" s="464" t="s">
        <v>446</v>
      </c>
      <c r="E52" s="464" t="s">
        <v>447</v>
      </c>
      <c r="F52" s="465" t="s">
        <v>274</v>
      </c>
    </row>
    <row r="53" spans="2:6" ht="4.05" customHeight="1" thickBot="1">
      <c r="F53" s="358"/>
    </row>
    <row r="54" spans="2:6">
      <c r="B54" s="361" t="s">
        <v>462</v>
      </c>
      <c r="C54" s="362"/>
      <c r="D54" s="362"/>
      <c r="E54" s="362"/>
      <c r="F54" s="363"/>
    </row>
    <row r="55" spans="2:6">
      <c r="B55" s="359" t="s">
        <v>460</v>
      </c>
      <c r="C55" s="364" t="s">
        <v>457</v>
      </c>
      <c r="D55" s="467">
        <f>Data_d!K26</f>
        <v>1.7580999999999999E-2</v>
      </c>
      <c r="E55" s="625">
        <f>'Transmission tariffs_PT'!E52</f>
        <v>1.43345E-2</v>
      </c>
      <c r="F55" s="480">
        <f t="shared" ref="F55:F58" si="4">E55/D55-1</f>
        <v>-0.18465957567828906</v>
      </c>
    </row>
    <row r="56" spans="2:6">
      <c r="B56" s="359" t="s">
        <v>461</v>
      </c>
      <c r="C56" s="364" t="s">
        <v>457</v>
      </c>
      <c r="D56" s="467">
        <f>Data_d!K27</f>
        <v>1.7580999999999999E-2</v>
      </c>
      <c r="E56" s="625">
        <f>'Transmission tariffs_PT'!E53</f>
        <v>1.43345E-2</v>
      </c>
      <c r="F56" s="480">
        <f t="shared" si="4"/>
        <v>-0.18465957567828906</v>
      </c>
    </row>
    <row r="57" spans="2:6">
      <c r="B57" s="359" t="s">
        <v>458</v>
      </c>
      <c r="C57" s="466" t="s">
        <v>184</v>
      </c>
      <c r="D57" s="473">
        <f>Data_d!K28</f>
        <v>3.5756999999999998E-4</v>
      </c>
      <c r="E57" s="630">
        <f>'Transmission tariffs_PT'!E54</f>
        <v>4.9100000000000001E-4</v>
      </c>
      <c r="F57" s="480">
        <f t="shared" si="4"/>
        <v>0.37315770338674947</v>
      </c>
    </row>
    <row r="58" spans="2:6" ht="15" thickBot="1">
      <c r="B58" s="360" t="s">
        <v>459</v>
      </c>
      <c r="C58" s="365" t="s">
        <v>184</v>
      </c>
      <c r="D58" s="469">
        <f>Data_d!K29</f>
        <v>1.43E-5</v>
      </c>
      <c r="E58" s="626">
        <f>'Transmission tariffs_PT'!E55</f>
        <v>1.9640000000000002E-5</v>
      </c>
      <c r="F58" s="481">
        <f t="shared" si="4"/>
        <v>0.37342657342657359</v>
      </c>
    </row>
    <row r="59" spans="2:6" ht="4.05" customHeight="1" thickBot="1">
      <c r="D59" s="471"/>
      <c r="E59" s="627"/>
      <c r="F59" s="358"/>
    </row>
    <row r="60" spans="2:6">
      <c r="B60" s="361" t="s">
        <v>463</v>
      </c>
      <c r="C60" s="362"/>
      <c r="D60" s="472"/>
      <c r="E60" s="628"/>
      <c r="F60" s="363"/>
    </row>
    <row r="61" spans="2:6">
      <c r="B61" s="359" t="s">
        <v>460</v>
      </c>
      <c r="C61" s="364" t="s">
        <v>457</v>
      </c>
      <c r="D61" s="467">
        <f>Data_d!K36</f>
        <v>5.45E-3</v>
      </c>
      <c r="E61" s="625">
        <f>'Transmission tariffs_PT'!E58</f>
        <v>4.77817E-3</v>
      </c>
      <c r="F61" s="480">
        <f t="shared" ref="F61:F64" si="5">E61/D61-1</f>
        <v>-0.12327155963302749</v>
      </c>
    </row>
    <row r="62" spans="2:6">
      <c r="B62" s="359" t="s">
        <v>461</v>
      </c>
      <c r="C62" s="364" t="s">
        <v>457</v>
      </c>
      <c r="D62" s="467">
        <f>Data_d!K37</f>
        <v>5.45E-3</v>
      </c>
      <c r="E62" s="625">
        <f>'Transmission tariffs_PT'!E59</f>
        <v>4.77817E-3</v>
      </c>
      <c r="F62" s="480">
        <f t="shared" si="5"/>
        <v>-0.12327155963302749</v>
      </c>
    </row>
    <row r="63" spans="2:6" ht="16.2" customHeight="1">
      <c r="B63" s="359" t="s">
        <v>458</v>
      </c>
      <c r="C63" s="466" t="s">
        <v>184</v>
      </c>
      <c r="D63" s="467">
        <f>Data_d!K38</f>
        <v>1.9907800000000002E-3</v>
      </c>
      <c r="E63" s="630">
        <f>'Transmission tariffs_PT'!E60</f>
        <v>1.7651800000000001E-3</v>
      </c>
      <c r="F63" s="480">
        <f t="shared" si="5"/>
        <v>-0.11332241633932427</v>
      </c>
    </row>
    <row r="64" spans="2:6" ht="15" thickBot="1">
      <c r="B64" s="360" t="s">
        <v>459</v>
      </c>
      <c r="C64" s="365" t="s">
        <v>184</v>
      </c>
      <c r="D64" s="469">
        <f>Data_d!K39</f>
        <v>1.63178E-3</v>
      </c>
      <c r="E64" s="626">
        <f>'Transmission tariffs_PT'!E61</f>
        <v>1.2938100000000001E-3</v>
      </c>
      <c r="F64" s="481">
        <f t="shared" si="5"/>
        <v>-0.20711738101950017</v>
      </c>
    </row>
    <row r="65" spans="2:9" ht="4.05" customHeight="1" thickBot="1">
      <c r="D65" s="471"/>
      <c r="E65" s="627"/>
      <c r="F65" s="358"/>
    </row>
    <row r="66" spans="2:9">
      <c r="B66" s="361" t="s">
        <v>464</v>
      </c>
      <c r="C66" s="362"/>
      <c r="D66" s="472"/>
      <c r="E66" s="628"/>
      <c r="F66" s="363"/>
    </row>
    <row r="67" spans="2:9">
      <c r="B67" s="359" t="s">
        <v>467</v>
      </c>
      <c r="C67" s="364" t="s">
        <v>457</v>
      </c>
      <c r="D67" s="467">
        <f>Data_d!J56</f>
        <v>1.7580999999999999E-2</v>
      </c>
      <c r="E67" s="625">
        <f>'Transmission tariffs_PT'!E64</f>
        <v>1.43345E-2</v>
      </c>
      <c r="F67" s="480">
        <f t="shared" ref="F67:F69" si="6">E67/D67-1</f>
        <v>-0.18465957567828906</v>
      </c>
    </row>
    <row r="68" spans="2:9">
      <c r="B68" s="359" t="s">
        <v>468</v>
      </c>
      <c r="C68" s="364" t="s">
        <v>457</v>
      </c>
      <c r="D68" s="467">
        <f>Data_d!J57</f>
        <v>2.6370999999999999E-2</v>
      </c>
      <c r="E68" s="625">
        <f>'Transmission tariffs_PT'!E65</f>
        <v>2.1501760000000002E-2</v>
      </c>
      <c r="F68" s="480">
        <f t="shared" si="6"/>
        <v>-0.18464373743885321</v>
      </c>
      <c r="I68" t="s">
        <v>260</v>
      </c>
    </row>
    <row r="69" spans="2:9" ht="15" thickBot="1">
      <c r="B69" s="360" t="s">
        <v>185</v>
      </c>
      <c r="C69" s="365" t="s">
        <v>184</v>
      </c>
      <c r="D69" s="469">
        <f>Data_d!J58</f>
        <v>1.43E-5</v>
      </c>
      <c r="E69" s="626">
        <f>'Transmission tariffs_PT'!E66</f>
        <v>1.9640000000000002E-5</v>
      </c>
      <c r="F69" s="481">
        <f t="shared" si="6"/>
        <v>0.37342657342657359</v>
      </c>
    </row>
    <row r="70" spans="2:9" ht="4.05" customHeight="1" thickBot="1">
      <c r="D70" s="471"/>
      <c r="E70" s="627"/>
      <c r="F70" s="358"/>
    </row>
    <row r="71" spans="2:9">
      <c r="B71" s="361" t="s">
        <v>465</v>
      </c>
      <c r="C71" s="362"/>
      <c r="D71" s="472"/>
      <c r="E71" s="628"/>
      <c r="F71" s="363"/>
    </row>
    <row r="72" spans="2:9">
      <c r="B72" s="359" t="s">
        <v>469</v>
      </c>
      <c r="C72" s="364" t="s">
        <v>457</v>
      </c>
      <c r="D72" s="467">
        <f>Data_d!J50</f>
        <v>2.6370999999999999E-2</v>
      </c>
      <c r="E72" s="625">
        <f>'Transmission tariffs_PT'!E69</f>
        <v>2.1501760000000002E-2</v>
      </c>
      <c r="F72" s="480">
        <f t="shared" ref="F72:F74" si="7">E72/D72-1</f>
        <v>-0.18464373743885321</v>
      </c>
    </row>
    <row r="73" spans="2:9">
      <c r="B73" s="359" t="s">
        <v>470</v>
      </c>
      <c r="C73" s="364" t="s">
        <v>457</v>
      </c>
      <c r="D73" s="467">
        <f>Data_d!J51</f>
        <v>5.2741999999999997E-2</v>
      </c>
      <c r="E73" s="625">
        <f>'Transmission tariffs_PT'!E70</f>
        <v>4.3003510000000002E-2</v>
      </c>
      <c r="F73" s="480">
        <f t="shared" si="7"/>
        <v>-0.1846439270410678</v>
      </c>
    </row>
    <row r="74" spans="2:9" ht="15" thickBot="1">
      <c r="B74" s="360" t="s">
        <v>185</v>
      </c>
      <c r="C74" s="365" t="s">
        <v>184</v>
      </c>
      <c r="D74" s="469">
        <f>Data_d!J52</f>
        <v>1.43E-5</v>
      </c>
      <c r="E74" s="626">
        <f>'Transmission tariffs_PT'!E71</f>
        <v>1.9640000000000002E-5</v>
      </c>
      <c r="F74" s="481">
        <f t="shared" si="7"/>
        <v>0.37342657342657359</v>
      </c>
    </row>
    <row r="75" spans="2:9" ht="4.05" customHeight="1" thickBot="1">
      <c r="D75" s="471"/>
      <c r="E75" s="627"/>
      <c r="F75" s="358"/>
    </row>
    <row r="76" spans="2:9">
      <c r="B76" s="361" t="s">
        <v>466</v>
      </c>
      <c r="C76" s="362"/>
      <c r="D76" s="472"/>
      <c r="E76" s="628"/>
      <c r="F76" s="363"/>
    </row>
    <row r="77" spans="2:9">
      <c r="B77" s="359" t="s">
        <v>471</v>
      </c>
      <c r="C77" s="364" t="s">
        <v>454</v>
      </c>
      <c r="D77" s="467">
        <f>Data_d!J44</f>
        <v>3.4680000000000002E-3</v>
      </c>
      <c r="E77" s="625">
        <f>'Transmission tariffs_PT'!E74</f>
        <v>2.8276299999999998E-3</v>
      </c>
      <c r="F77" s="480">
        <f t="shared" ref="F77:F79" si="8">E77/D77-1</f>
        <v>-0.18465109573241067</v>
      </c>
    </row>
    <row r="78" spans="2:9">
      <c r="B78" s="359" t="s">
        <v>472</v>
      </c>
      <c r="C78" s="364" t="s">
        <v>454</v>
      </c>
      <c r="D78" s="467">
        <f>Data_d!J45</f>
        <v>5.7800000000000004E-3</v>
      </c>
      <c r="E78" s="625">
        <f>'Transmission tariffs_PT'!E75</f>
        <v>4.7127100000000002E-3</v>
      </c>
      <c r="F78" s="480">
        <f t="shared" si="8"/>
        <v>-0.18465224913494815</v>
      </c>
    </row>
    <row r="79" spans="2:9" ht="15" thickBot="1">
      <c r="B79" s="360" t="s">
        <v>185</v>
      </c>
      <c r="C79" s="365" t="s">
        <v>184</v>
      </c>
      <c r="D79" s="469">
        <f>Data_d!J46</f>
        <v>1.43E-5</v>
      </c>
      <c r="E79" s="626">
        <f>'Transmission tariffs_PT'!E76</f>
        <v>1.9640000000000002E-5</v>
      </c>
      <c r="F79" s="481">
        <f t="shared" si="8"/>
        <v>0.37342657342657359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51"/>
  <sheetViews>
    <sheetView topLeftCell="A7" zoomScale="80" zoomScaleNormal="80" zoomScaleSheetLayoutView="80" workbookViewId="0">
      <selection activeCell="V36" sqref="V36:V42"/>
    </sheetView>
  </sheetViews>
  <sheetFormatPr defaultColWidth="0" defaultRowHeight="14.4" zeroHeight="1"/>
  <cols>
    <col min="1" max="2" width="16.5546875" bestFit="1" customWidth="1"/>
    <col min="3" max="13" width="10.33203125" customWidth="1"/>
    <col min="14" max="14" width="5.21875" customWidth="1"/>
    <col min="15" max="15" width="6.6640625" bestFit="1" customWidth="1"/>
    <col min="16" max="16" width="11.109375" bestFit="1" customWidth="1"/>
    <col min="17" max="17" width="7.5546875" customWidth="1"/>
    <col min="18" max="18" width="6.5546875" bestFit="1" customWidth="1"/>
    <col min="19" max="19" width="6" bestFit="1" customWidth="1"/>
    <col min="20" max="20" width="18.21875" customWidth="1"/>
    <col min="21" max="21" width="15.6640625" bestFit="1" customWidth="1"/>
    <col min="22" max="22" width="8.88671875" customWidth="1"/>
    <col min="23" max="23" width="16.109375" bestFit="1" customWidth="1"/>
    <col min="24" max="16384" width="8.88671875" hidden="1"/>
  </cols>
  <sheetData>
    <row r="1" spans="1:20">
      <c r="A1" s="2" t="s">
        <v>502</v>
      </c>
      <c r="T1" s="7"/>
    </row>
    <row r="2" spans="1:20">
      <c r="A2" s="2"/>
      <c r="B2" s="7"/>
    </row>
    <row r="3" spans="1:20">
      <c r="A3" s="77" t="s">
        <v>113</v>
      </c>
      <c r="B3" s="76">
        <f>UCC!B12</f>
        <v>72298340.44579111</v>
      </c>
    </row>
    <row r="4" spans="1:20">
      <c r="A4" s="77" t="s">
        <v>104</v>
      </c>
      <c r="B4" s="121">
        <f>Data_a!C4</f>
        <v>0.4</v>
      </c>
    </row>
    <row r="5" spans="1:20">
      <c r="A5" s="74" t="s">
        <v>144</v>
      </c>
      <c r="B5" s="75">
        <f>UCC!B15</f>
        <v>2.3732472472403392E-4</v>
      </c>
      <c r="C5" s="18" t="s">
        <v>103</v>
      </c>
    </row>
    <row r="6" spans="1:20">
      <c r="A6" s="78" t="s">
        <v>146</v>
      </c>
      <c r="B6" s="532">
        <f>Data_c!B22</f>
        <v>0</v>
      </c>
      <c r="C6" s="18" t="s">
        <v>103</v>
      </c>
    </row>
    <row r="7" spans="1:20">
      <c r="A7" s="29"/>
    </row>
    <row r="8" spans="1:20">
      <c r="A8" s="17" t="s">
        <v>127</v>
      </c>
      <c r="B8" s="13"/>
      <c r="C8" s="13"/>
      <c r="D8" s="13"/>
      <c r="E8" s="13"/>
      <c r="F8" s="13"/>
      <c r="G8" s="13"/>
      <c r="H8" s="13"/>
      <c r="I8" s="13"/>
      <c r="J8" s="13"/>
      <c r="K8" s="13"/>
      <c r="L8" s="13"/>
      <c r="M8" s="13"/>
      <c r="N8" s="70"/>
      <c r="O8" s="70"/>
      <c r="P8" s="70"/>
      <c r="Q8" s="70"/>
      <c r="R8" s="70"/>
      <c r="S8" s="70"/>
      <c r="T8" s="70"/>
    </row>
    <row r="9" spans="1:20">
      <c r="C9" s="1" t="s">
        <v>18</v>
      </c>
      <c r="N9" s="70"/>
      <c r="O9" s="70"/>
      <c r="P9" s="70"/>
      <c r="Q9" s="70"/>
      <c r="R9" s="70"/>
      <c r="S9" s="70"/>
      <c r="T9" s="70"/>
    </row>
    <row r="10" spans="1:20">
      <c r="B10" s="4" t="s">
        <v>21</v>
      </c>
      <c r="C10" s="3" t="s">
        <v>4</v>
      </c>
      <c r="D10" s="3" t="s">
        <v>6</v>
      </c>
      <c r="E10" s="3" t="s">
        <v>11</v>
      </c>
      <c r="F10" s="3" t="s">
        <v>12</v>
      </c>
      <c r="G10" s="3" t="s">
        <v>14</v>
      </c>
      <c r="H10" s="3" t="s">
        <v>15</v>
      </c>
      <c r="I10" s="3" t="s">
        <v>31</v>
      </c>
      <c r="J10" s="3" t="s">
        <v>32</v>
      </c>
      <c r="K10" s="3" t="s">
        <v>33</v>
      </c>
      <c r="L10" s="3" t="s">
        <v>34</v>
      </c>
      <c r="M10" s="3" t="s">
        <v>35</v>
      </c>
      <c r="N10" s="70"/>
      <c r="O10" s="70"/>
      <c r="P10" s="70"/>
      <c r="Q10" s="70"/>
      <c r="R10" s="70"/>
      <c r="S10" s="70"/>
      <c r="T10" s="70"/>
    </row>
    <row r="11" spans="1:20">
      <c r="A11" s="1" t="s">
        <v>17</v>
      </c>
      <c r="B11" s="3" t="s">
        <v>4</v>
      </c>
      <c r="C11" s="16">
        <f>INDEX(Distances!$C$4:$C$47,MATCH($B11&amp;C$10,Distances!$B$4:$B$47,0))</f>
        <v>0</v>
      </c>
      <c r="D11" s="16">
        <f>INDEX(Distances!$C$4:$C$47,MATCH($B11&amp;D$10,Distances!$B$4:$B$47,0))</f>
        <v>509.03899999999999</v>
      </c>
      <c r="E11" s="16">
        <f>INDEX(Distances!$C$4:$C$47,MATCH($B11&amp;E$10,Distances!$B$4:$B$47,0))</f>
        <v>481.84000000000003</v>
      </c>
      <c r="F11" s="16">
        <f>INDEX(Distances!$C$4:$C$47,MATCH($B11&amp;F$10,Distances!$B$4:$B$47,0))</f>
        <v>254.26299999999998</v>
      </c>
      <c r="G11" s="16">
        <f>INDEX(Distances!$C$4:$C$47,MATCH($B11&amp;G$10,Distances!$B$4:$B$47,0))</f>
        <v>416.85699999999997</v>
      </c>
      <c r="H11" s="16">
        <f>INDEX(Distances!$C$4:$C$47,MATCH($B11&amp;H$10,Distances!$B$4:$B$47,0))</f>
        <v>434.01900000000001</v>
      </c>
      <c r="I11" s="16">
        <f>INDEX(Distances!$C$4:$C$47,MATCH($B11&amp;I$10,Distances!$B$4:$B$47,0))</f>
        <v>290.23699999999997</v>
      </c>
      <c r="J11" s="16">
        <f>INDEX(Distances!$C$4:$C$47,MATCH($B11&amp;J$10,Distances!$B$4:$B$47,0))</f>
        <v>148.19899999999998</v>
      </c>
      <c r="K11" s="16">
        <f>INDEX(Distances!$C$4:$C$47,MATCH($B11&amp;K$10,Distances!$B$4:$B$47,0))</f>
        <v>477.80899999999997</v>
      </c>
      <c r="L11" s="16">
        <f>INDEX(Distances!$C$4:$C$47,MATCH($B11&amp;L$10,Distances!$B$4:$B$47,0))</f>
        <v>441.00900000000001</v>
      </c>
      <c r="M11" s="16">
        <f>INDEX(Distances!$C$4:$C$47,MATCH($B11&amp;M$10,Distances!$B$4:$B$47,0))</f>
        <v>274.86</v>
      </c>
      <c r="N11" s="70"/>
      <c r="O11" s="70"/>
      <c r="P11" s="70"/>
      <c r="Q11" s="70"/>
      <c r="R11" s="70"/>
      <c r="S11" s="70"/>
      <c r="T11" s="70"/>
    </row>
    <row r="12" spans="1:20">
      <c r="B12" s="3" t="s">
        <v>6</v>
      </c>
      <c r="C12" s="16">
        <f>INDEX(Distances!$C$4:$C$47,MATCH($B12&amp;C$10,Distances!$B$4:$B$47,0))</f>
        <v>509.03899999999999</v>
      </c>
      <c r="D12" s="16">
        <f>INDEX(Distances!$C$4:$C$47,MATCH($B12&amp;D$10,Distances!$B$4:$B$47,0))</f>
        <v>0</v>
      </c>
      <c r="E12" s="16">
        <f>INDEX(Distances!$C$4:$C$47,MATCH($B12&amp;E$10,Distances!$B$4:$B$47,0))</f>
        <v>549.45300000000009</v>
      </c>
      <c r="F12" s="16">
        <f>INDEX(Distances!$C$4:$C$47,MATCH($B12&amp;F$10,Distances!$B$4:$B$47,0))</f>
        <v>321.87600000000003</v>
      </c>
      <c r="G12" s="16">
        <f>INDEX(Distances!$C$4:$C$47,MATCH($B12&amp;G$10,Distances!$B$4:$B$47,0))</f>
        <v>484.47</v>
      </c>
      <c r="H12" s="16">
        <f>INDEX(Distances!$C$4:$C$47,MATCH($B12&amp;H$10,Distances!$B$4:$B$47,0))</f>
        <v>190.702</v>
      </c>
      <c r="I12" s="16">
        <f>INDEX(Distances!$C$4:$C$47,MATCH($B12&amp;I$10,Distances!$B$4:$B$47,0))</f>
        <v>357.85</v>
      </c>
      <c r="J12" s="16">
        <f>INDEX(Distances!$C$4:$C$47,MATCH($B12&amp;J$10,Distances!$B$4:$B$47,0))</f>
        <v>370.96000000000004</v>
      </c>
      <c r="K12" s="16">
        <f>INDEX(Distances!$C$4:$C$47,MATCH($B12&amp;K$10,Distances!$B$4:$B$47,0))</f>
        <v>71.706000000000003</v>
      </c>
      <c r="L12" s="16">
        <f>INDEX(Distances!$C$4:$C$47,MATCH($B12&amp;L$10,Distances!$B$4:$B$47,0))</f>
        <v>508.62200000000007</v>
      </c>
      <c r="M12" s="16">
        <f>INDEX(Distances!$C$4:$C$47,MATCH($B12&amp;M$10,Distances!$B$4:$B$47,0))</f>
        <v>334.01</v>
      </c>
      <c r="N12" s="70"/>
      <c r="O12" s="70"/>
      <c r="P12" s="70"/>
      <c r="Q12" s="70"/>
      <c r="R12" s="70"/>
      <c r="S12" s="70"/>
      <c r="T12" s="70"/>
    </row>
    <row r="13" spans="1:20">
      <c r="B13" s="3" t="s">
        <v>11</v>
      </c>
      <c r="C13" s="16">
        <f>INDEX(Distances!$C$4:$C$47,MATCH($B13&amp;C$10,Distances!$B$4:$B$47,0))</f>
        <v>481.84000000000003</v>
      </c>
      <c r="D13" s="16">
        <f>INDEX(Distances!$C$4:$C$47,MATCH($B13&amp;D$10,Distances!$B$4:$B$47,0))</f>
        <v>549.45300000000009</v>
      </c>
      <c r="E13" s="16">
        <f>INDEX(Distances!$C$4:$C$47,MATCH($B13&amp;E$10,Distances!$B$4:$B$47,0))</f>
        <v>0</v>
      </c>
      <c r="F13" s="16">
        <f>INDEX(Distances!$C$4:$C$47,MATCH($B13&amp;F$10,Distances!$B$4:$B$47,0))</f>
        <v>294.67700000000002</v>
      </c>
      <c r="G13" s="16">
        <f>INDEX(Distances!$C$4:$C$47,MATCH($B13&amp;G$10,Distances!$B$4:$B$47,0))</f>
        <v>276.803</v>
      </c>
      <c r="H13" s="16">
        <f>INDEX(Distances!$C$4:$C$47,MATCH($B13&amp;H$10,Distances!$B$4:$B$47,0))</f>
        <v>474.43299999999999</v>
      </c>
      <c r="I13" s="16">
        <f>INDEX(Distances!$C$4:$C$47,MATCH($B13&amp;I$10,Distances!$B$4:$B$47,0))</f>
        <v>330.65100000000001</v>
      </c>
      <c r="J13" s="16">
        <f>INDEX(Distances!$C$4:$C$47,MATCH($B13&amp;J$10,Distances!$B$4:$B$47,0))</f>
        <v>343.76099999999997</v>
      </c>
      <c r="K13" s="16">
        <f>INDEX(Distances!$C$4:$C$47,MATCH($B13&amp;K$10,Distances!$B$4:$B$47,0))</f>
        <v>518.22300000000007</v>
      </c>
      <c r="L13" s="16">
        <f>INDEX(Distances!$C$4:$C$47,MATCH($B13&amp;L$10,Distances!$B$4:$B$47,0))</f>
        <v>51.051000000000002</v>
      </c>
      <c r="M13" s="16">
        <f>INDEX(Distances!$C$4:$C$47,MATCH($B13&amp;M$10,Distances!$B$4:$B$47,0))</f>
        <v>462.79100000000005</v>
      </c>
      <c r="N13" s="70"/>
      <c r="O13" s="70"/>
      <c r="P13" s="70"/>
      <c r="Q13" s="70"/>
      <c r="R13" s="70"/>
      <c r="S13" s="70"/>
      <c r="T13" s="70"/>
    </row>
    <row r="14" spans="1:20">
      <c r="B14" s="3" t="s">
        <v>12</v>
      </c>
      <c r="C14" s="16">
        <f>INDEX(Distances!$C$4:$C$47,MATCH($B14&amp;C$10,Distances!$B$4:$B$47,0))</f>
        <v>254.26299999999998</v>
      </c>
      <c r="D14" s="16">
        <f>INDEX(Distances!$C$4:$C$47,MATCH($B14&amp;D$10,Distances!$B$4:$B$47,0))</f>
        <v>321.87600000000003</v>
      </c>
      <c r="E14" s="16">
        <f>INDEX(Distances!$C$4:$C$47,MATCH($B14&amp;E$10,Distances!$B$4:$B$47,0))</f>
        <v>294.67700000000002</v>
      </c>
      <c r="F14" s="16">
        <f>INDEX(Distances!$C$4:$C$47,MATCH($B14&amp;F$10,Distances!$B$4:$B$47,0))</f>
        <v>0</v>
      </c>
      <c r="G14" s="16">
        <f>INDEX(Distances!$C$4:$C$47,MATCH($B14&amp;G$10,Distances!$B$4:$B$47,0))</f>
        <v>229.69400000000002</v>
      </c>
      <c r="H14" s="16">
        <f>INDEX(Distances!$C$4:$C$47,MATCH($B14&amp;H$10,Distances!$B$4:$B$47,0))</f>
        <v>246.85599999999999</v>
      </c>
      <c r="I14" s="16">
        <f>INDEX(Distances!$C$4:$C$47,MATCH($B14&amp;I$10,Distances!$B$4:$B$47,0))</f>
        <v>35.974000000000004</v>
      </c>
      <c r="J14" s="16">
        <f>INDEX(Distances!$C$4:$C$47,MATCH($B14&amp;J$10,Distances!$B$4:$B$47,0))</f>
        <v>116.184</v>
      </c>
      <c r="K14" s="16">
        <f>INDEX(Distances!$C$4:$C$47,MATCH($B14&amp;K$10,Distances!$B$4:$B$47,0))</f>
        <v>290.64600000000002</v>
      </c>
      <c r="L14" s="16">
        <f>INDEX(Distances!$C$4:$C$47,MATCH($B14&amp;L$10,Distances!$B$4:$B$47,0))</f>
        <v>253.846</v>
      </c>
      <c r="M14" s="16">
        <f>INDEX(Distances!$C$4:$C$47,MATCH($B14&amp;M$10,Distances!$B$4:$B$47,0))</f>
        <v>235.214</v>
      </c>
      <c r="N14" s="70"/>
      <c r="O14" s="70"/>
      <c r="P14" s="70"/>
      <c r="Q14" s="70"/>
      <c r="R14" s="70"/>
      <c r="S14" s="70"/>
      <c r="T14" s="70"/>
    </row>
    <row r="15" spans="1:20">
      <c r="A15" s="17" t="s">
        <v>102</v>
      </c>
      <c r="B15" s="13"/>
      <c r="C15" s="13"/>
      <c r="D15" s="13"/>
      <c r="E15" s="13"/>
      <c r="F15" s="13"/>
      <c r="G15" s="13"/>
      <c r="H15" s="13"/>
      <c r="I15" s="13"/>
      <c r="J15" s="13"/>
      <c r="K15" s="13"/>
      <c r="L15" s="13"/>
      <c r="M15" s="13"/>
      <c r="N15" s="70"/>
      <c r="O15" s="70"/>
      <c r="P15" s="70"/>
      <c r="Q15" s="70"/>
      <c r="R15" s="70"/>
      <c r="S15" s="70"/>
      <c r="T15" s="70"/>
    </row>
    <row r="16" spans="1:20">
      <c r="B16" s="4" t="s">
        <v>550</v>
      </c>
      <c r="C16" s="3" t="s">
        <v>4</v>
      </c>
      <c r="D16" s="3" t="s">
        <v>6</v>
      </c>
      <c r="E16" s="3" t="s">
        <v>11</v>
      </c>
      <c r="F16" s="3" t="s">
        <v>12</v>
      </c>
      <c r="G16" s="3" t="s">
        <v>14</v>
      </c>
      <c r="H16" s="3" t="s">
        <v>15</v>
      </c>
      <c r="I16" s="3" t="s">
        <v>31</v>
      </c>
      <c r="J16" s="3" t="s">
        <v>32</v>
      </c>
      <c r="K16" s="3" t="s">
        <v>33</v>
      </c>
      <c r="L16" s="3" t="s">
        <v>34</v>
      </c>
      <c r="M16" s="3" t="s">
        <v>35</v>
      </c>
      <c r="N16" s="70"/>
      <c r="O16" s="70"/>
      <c r="P16" s="70"/>
      <c r="Q16" s="70"/>
      <c r="R16" s="70"/>
      <c r="S16" s="70"/>
      <c r="T16" s="70"/>
    </row>
    <row r="17" spans="1:21">
      <c r="A17" s="1"/>
      <c r="B17" s="3" t="s">
        <v>4</v>
      </c>
      <c r="C17" s="324">
        <f t="shared" ref="C17:D20" si="0">$B$6</f>
        <v>0</v>
      </c>
      <c r="D17" s="324">
        <f>$B$6</f>
        <v>0</v>
      </c>
      <c r="E17" s="324">
        <f t="shared" ref="E17:F20" si="1">$B$6</f>
        <v>0</v>
      </c>
      <c r="F17" s="324">
        <f t="shared" si="1"/>
        <v>0</v>
      </c>
      <c r="G17" s="21">
        <f t="shared" ref="G17:M20" si="2">$B$5</f>
        <v>2.3732472472403392E-4</v>
      </c>
      <c r="H17" s="21">
        <f t="shared" si="2"/>
        <v>2.3732472472403392E-4</v>
      </c>
      <c r="I17" s="21">
        <f t="shared" si="2"/>
        <v>2.3732472472403392E-4</v>
      </c>
      <c r="J17" s="21">
        <f t="shared" si="2"/>
        <v>2.3732472472403392E-4</v>
      </c>
      <c r="K17" s="21">
        <f t="shared" si="2"/>
        <v>2.3732472472403392E-4</v>
      </c>
      <c r="L17" s="21">
        <f t="shared" si="2"/>
        <v>2.3732472472403392E-4</v>
      </c>
      <c r="M17" s="21">
        <f t="shared" si="2"/>
        <v>2.3732472472403392E-4</v>
      </c>
      <c r="N17" s="70"/>
      <c r="O17" s="70"/>
      <c r="P17" s="70"/>
      <c r="Q17" s="70"/>
      <c r="R17" s="70"/>
      <c r="S17" s="70"/>
      <c r="T17" s="70"/>
    </row>
    <row r="18" spans="1:21">
      <c r="B18" s="3" t="s">
        <v>6</v>
      </c>
      <c r="C18" s="324">
        <f t="shared" si="0"/>
        <v>0</v>
      </c>
      <c r="D18" s="324">
        <f t="shared" si="0"/>
        <v>0</v>
      </c>
      <c r="E18" s="324">
        <f t="shared" si="1"/>
        <v>0</v>
      </c>
      <c r="F18" s="324">
        <f t="shared" si="1"/>
        <v>0</v>
      </c>
      <c r="G18" s="21">
        <f t="shared" si="2"/>
        <v>2.3732472472403392E-4</v>
      </c>
      <c r="H18" s="21">
        <f t="shared" si="2"/>
        <v>2.3732472472403392E-4</v>
      </c>
      <c r="I18" s="21">
        <f t="shared" si="2"/>
        <v>2.3732472472403392E-4</v>
      </c>
      <c r="J18" s="21">
        <f t="shared" si="2"/>
        <v>2.3732472472403392E-4</v>
      </c>
      <c r="K18" s="21">
        <f t="shared" si="2"/>
        <v>2.3732472472403392E-4</v>
      </c>
      <c r="L18" s="21">
        <f t="shared" si="2"/>
        <v>2.3732472472403392E-4</v>
      </c>
      <c r="M18" s="21">
        <f t="shared" si="2"/>
        <v>2.3732472472403392E-4</v>
      </c>
      <c r="N18" s="70"/>
      <c r="O18" s="70"/>
      <c r="P18" s="70"/>
      <c r="Q18" s="70"/>
      <c r="R18" s="70"/>
      <c r="S18" s="70"/>
      <c r="T18" s="70"/>
      <c r="U18" s="70"/>
    </row>
    <row r="19" spans="1:21">
      <c r="B19" s="3" t="s">
        <v>11</v>
      </c>
      <c r="C19" s="324">
        <f t="shared" si="0"/>
        <v>0</v>
      </c>
      <c r="D19" s="324">
        <f t="shared" si="0"/>
        <v>0</v>
      </c>
      <c r="E19" s="324">
        <f t="shared" si="1"/>
        <v>0</v>
      </c>
      <c r="F19" s="324">
        <f t="shared" si="1"/>
        <v>0</v>
      </c>
      <c r="G19" s="21">
        <f t="shared" si="2"/>
        <v>2.3732472472403392E-4</v>
      </c>
      <c r="H19" s="21">
        <f t="shared" si="2"/>
        <v>2.3732472472403392E-4</v>
      </c>
      <c r="I19" s="21">
        <f t="shared" si="2"/>
        <v>2.3732472472403392E-4</v>
      </c>
      <c r="J19" s="21">
        <f t="shared" si="2"/>
        <v>2.3732472472403392E-4</v>
      </c>
      <c r="K19" s="21">
        <f t="shared" si="2"/>
        <v>2.3732472472403392E-4</v>
      </c>
      <c r="L19" s="21">
        <f t="shared" si="2"/>
        <v>2.3732472472403392E-4</v>
      </c>
      <c r="M19" s="21">
        <f t="shared" si="2"/>
        <v>2.3732472472403392E-4</v>
      </c>
      <c r="N19" s="70"/>
      <c r="O19" s="70"/>
      <c r="P19" s="70"/>
      <c r="Q19" s="70"/>
      <c r="R19" s="70"/>
      <c r="S19" s="70"/>
      <c r="T19" s="70"/>
      <c r="U19" s="70"/>
    </row>
    <row r="20" spans="1:21">
      <c r="B20" s="3" t="s">
        <v>12</v>
      </c>
      <c r="C20" s="324">
        <f t="shared" si="0"/>
        <v>0</v>
      </c>
      <c r="D20" s="324">
        <f t="shared" si="0"/>
        <v>0</v>
      </c>
      <c r="E20" s="324">
        <f t="shared" si="1"/>
        <v>0</v>
      </c>
      <c r="F20" s="324">
        <f t="shared" si="1"/>
        <v>0</v>
      </c>
      <c r="G20" s="21">
        <f t="shared" si="2"/>
        <v>2.3732472472403392E-4</v>
      </c>
      <c r="H20" s="21">
        <f t="shared" si="2"/>
        <v>2.3732472472403392E-4</v>
      </c>
      <c r="I20" s="21">
        <f t="shared" si="2"/>
        <v>2.3732472472403392E-4</v>
      </c>
      <c r="J20" s="21">
        <f t="shared" si="2"/>
        <v>2.3732472472403392E-4</v>
      </c>
      <c r="K20" s="21">
        <f t="shared" si="2"/>
        <v>2.3732472472403392E-4</v>
      </c>
      <c r="L20" s="21">
        <f t="shared" si="2"/>
        <v>2.3732472472403392E-4</v>
      </c>
      <c r="M20" s="21">
        <f t="shared" si="2"/>
        <v>2.3732472472403392E-4</v>
      </c>
      <c r="N20" s="70"/>
      <c r="O20" s="70"/>
      <c r="P20" s="70"/>
      <c r="Q20" s="70"/>
      <c r="R20" s="70"/>
      <c r="S20" s="70"/>
      <c r="T20" s="70"/>
      <c r="U20" s="70"/>
    </row>
    <row r="21" spans="1:21">
      <c r="A21" s="17" t="s">
        <v>148</v>
      </c>
      <c r="B21" s="13"/>
      <c r="C21" s="13"/>
      <c r="D21" s="13"/>
      <c r="E21" s="13"/>
      <c r="F21" s="13"/>
      <c r="G21" s="13"/>
      <c r="H21" s="13"/>
      <c r="I21" s="13"/>
      <c r="J21" s="13"/>
      <c r="K21" s="13"/>
      <c r="L21" s="13"/>
      <c r="M21" s="13"/>
      <c r="N21" s="70"/>
      <c r="O21" s="70"/>
      <c r="P21" s="70"/>
      <c r="Q21" s="70"/>
      <c r="R21" s="70"/>
      <c r="S21" s="70"/>
      <c r="T21" s="70"/>
      <c r="U21" s="70"/>
    </row>
    <row r="22" spans="1:21">
      <c r="B22" s="4" t="s">
        <v>137</v>
      </c>
      <c r="C22" s="3" t="s">
        <v>4</v>
      </c>
      <c r="D22" s="3" t="s">
        <v>6</v>
      </c>
      <c r="E22" s="3" t="s">
        <v>11</v>
      </c>
      <c r="F22" s="3" t="s">
        <v>12</v>
      </c>
      <c r="G22" s="3" t="s">
        <v>14</v>
      </c>
      <c r="H22" s="3" t="s">
        <v>15</v>
      </c>
      <c r="I22" s="3" t="s">
        <v>31</v>
      </c>
      <c r="J22" s="3" t="s">
        <v>32</v>
      </c>
      <c r="K22" s="3" t="s">
        <v>33</v>
      </c>
      <c r="L22" s="3" t="s">
        <v>34</v>
      </c>
      <c r="M22" s="3" t="s">
        <v>35</v>
      </c>
      <c r="N22" s="70"/>
      <c r="O22" s="70"/>
      <c r="P22" s="70"/>
      <c r="Q22" s="70"/>
      <c r="R22" s="70"/>
      <c r="S22" s="70"/>
      <c r="T22" s="70"/>
      <c r="U22" s="70"/>
    </row>
    <row r="23" spans="1:21">
      <c r="A23" s="1"/>
      <c r="B23" s="3" t="s">
        <v>4</v>
      </c>
      <c r="C23" s="68">
        <f t="shared" ref="C23:M23" si="3">($P29*C$35/SUM($C$35:$M$35)/2+C$35*$P29/SUM($P$29:$P$32)/2)</f>
        <v>0</v>
      </c>
      <c r="D23" s="68">
        <f t="shared" si="3"/>
        <v>6132436.7547518592</v>
      </c>
      <c r="E23" s="68">
        <f t="shared" si="3"/>
        <v>0</v>
      </c>
      <c r="F23" s="68">
        <f t="shared" si="3"/>
        <v>10641080.135157077</v>
      </c>
      <c r="G23" s="68">
        <f t="shared" si="3"/>
        <v>25123818.306154303</v>
      </c>
      <c r="H23" s="68">
        <f t="shared" si="3"/>
        <v>30050398.176391974</v>
      </c>
      <c r="I23" s="68">
        <f t="shared" si="3"/>
        <v>26074589.703316107</v>
      </c>
      <c r="J23" s="68">
        <f t="shared" si="3"/>
        <v>12820990.069481835</v>
      </c>
      <c r="K23" s="68">
        <f t="shared" si="3"/>
        <v>1806726.8030755175</v>
      </c>
      <c r="L23" s="68">
        <f t="shared" si="3"/>
        <v>11262110.289590653</v>
      </c>
      <c r="M23" s="68">
        <f t="shared" si="3"/>
        <v>1336684.9478570078</v>
      </c>
    </row>
    <row r="24" spans="1:21">
      <c r="B24" s="3" t="s">
        <v>6</v>
      </c>
      <c r="C24" s="68">
        <f t="shared" ref="C24:M24" si="4">($P30*C$35/SUM($C$35:$M$35)/2+C$35*$P30/SUM($P$29:$P$32)/2)</f>
        <v>0</v>
      </c>
      <c r="D24" s="68">
        <f t="shared" si="4"/>
        <v>827431.17489863874</v>
      </c>
      <c r="E24" s="68">
        <f t="shared" si="4"/>
        <v>0</v>
      </c>
      <c r="F24" s="68">
        <f t="shared" si="4"/>
        <v>1435768.8127156002</v>
      </c>
      <c r="G24" s="68">
        <f t="shared" si="4"/>
        <v>3389880.9446168272</v>
      </c>
      <c r="H24" s="68">
        <f t="shared" si="4"/>
        <v>4054609.4910798697</v>
      </c>
      <c r="I24" s="68">
        <f t="shared" si="4"/>
        <v>3518165.6584549313</v>
      </c>
      <c r="J24" s="68">
        <f t="shared" si="4"/>
        <v>1729897.4780840431</v>
      </c>
      <c r="K24" s="68">
        <f t="shared" si="4"/>
        <v>243776.19226667879</v>
      </c>
      <c r="L24" s="68">
        <f t="shared" si="4"/>
        <v>1519562.5363006468</v>
      </c>
      <c r="M24" s="68">
        <f t="shared" si="4"/>
        <v>180354.86399719142</v>
      </c>
      <c r="P24" s="51"/>
    </row>
    <row r="25" spans="1:21">
      <c r="B25" s="3" t="s">
        <v>11</v>
      </c>
      <c r="C25" s="68">
        <f t="shared" ref="C25:M25" si="5">($P31*C$35/SUM($C$35:$M$35)/2+C$35*$P31/SUM($P$29:$P$32)/2)</f>
        <v>0</v>
      </c>
      <c r="D25" s="68">
        <f t="shared" si="5"/>
        <v>8593032.9455684889</v>
      </c>
      <c r="E25" s="68">
        <f t="shared" si="5"/>
        <v>0</v>
      </c>
      <c r="F25" s="68">
        <f t="shared" si="5"/>
        <v>14910737.091089513</v>
      </c>
      <c r="G25" s="68">
        <f t="shared" si="5"/>
        <v>35204569.905425191</v>
      </c>
      <c r="H25" s="68">
        <f t="shared" si="5"/>
        <v>42107904.554759026</v>
      </c>
      <c r="I25" s="68">
        <f t="shared" si="5"/>
        <v>36536831.495108098</v>
      </c>
      <c r="J25" s="68">
        <f t="shared" si="5"/>
        <v>17965320.225519679</v>
      </c>
      <c r="K25" s="68">
        <f t="shared" si="5"/>
        <v>2531662.9528122647</v>
      </c>
      <c r="L25" s="68">
        <f t="shared" si="5"/>
        <v>15780951.133346707</v>
      </c>
      <c r="M25" s="68">
        <f t="shared" si="5"/>
        <v>1873020.1800907995</v>
      </c>
    </row>
    <row r="26" spans="1:21">
      <c r="B26" s="3" t="s">
        <v>12</v>
      </c>
      <c r="C26" s="68">
        <f t="shared" ref="C26:M26" si="6">($P32*C$35/SUM($C$35:$M$35)/2+C$35*$P32/SUM($P$29:$P$32)/2)</f>
        <v>0</v>
      </c>
      <c r="D26" s="68">
        <f t="shared" si="6"/>
        <v>3140662.8440707014</v>
      </c>
      <c r="E26" s="68">
        <f t="shared" si="6"/>
        <v>0</v>
      </c>
      <c r="F26" s="68">
        <f t="shared" si="6"/>
        <v>5449717.0273089875</v>
      </c>
      <c r="G26" s="68">
        <f t="shared" si="6"/>
        <v>12866898.72409698</v>
      </c>
      <c r="H26" s="68">
        <f t="shared" si="6"/>
        <v>15389994.675280288</v>
      </c>
      <c r="I26" s="68">
        <f t="shared" si="6"/>
        <v>13353826.273403944</v>
      </c>
      <c r="J26" s="68">
        <f t="shared" si="6"/>
        <v>6566134.9225036353</v>
      </c>
      <c r="K26" s="68">
        <f t="shared" si="6"/>
        <v>925296.08811848646</v>
      </c>
      <c r="L26" s="68">
        <f t="shared" si="6"/>
        <v>5767771.074840039</v>
      </c>
      <c r="M26" s="68">
        <f t="shared" si="6"/>
        <v>684569.10651546647</v>
      </c>
    </row>
    <row r="27" spans="1:21">
      <c r="A27" s="17" t="s">
        <v>151</v>
      </c>
      <c r="B27" s="13"/>
      <c r="C27" s="13"/>
      <c r="D27" s="13"/>
      <c r="E27" s="13"/>
      <c r="F27" s="13"/>
      <c r="G27" s="13"/>
      <c r="H27" s="13"/>
      <c r="I27" s="13"/>
      <c r="J27" s="13"/>
      <c r="K27" s="13"/>
      <c r="L27" s="13"/>
      <c r="M27" s="13"/>
      <c r="N27" s="13"/>
      <c r="O27" s="13"/>
      <c r="P27" s="13"/>
      <c r="Q27" s="13"/>
      <c r="R27" s="13"/>
      <c r="S27" s="13"/>
      <c r="T27" s="13"/>
      <c r="U27" s="70"/>
    </row>
    <row r="28" spans="1:21">
      <c r="B28" s="4" t="s">
        <v>142</v>
      </c>
      <c r="C28" s="3" t="s">
        <v>4</v>
      </c>
      <c r="D28" s="3" t="s">
        <v>6</v>
      </c>
      <c r="E28" s="3" t="s">
        <v>11</v>
      </c>
      <c r="F28" s="3" t="s">
        <v>12</v>
      </c>
      <c r="G28" s="3" t="s">
        <v>14</v>
      </c>
      <c r="H28" s="3" t="s">
        <v>15</v>
      </c>
      <c r="I28" s="3" t="s">
        <v>31</v>
      </c>
      <c r="J28" s="3" t="s">
        <v>32</v>
      </c>
      <c r="K28" s="3" t="s">
        <v>33</v>
      </c>
      <c r="L28" s="3" t="s">
        <v>34</v>
      </c>
      <c r="M28" s="3" t="s">
        <v>35</v>
      </c>
      <c r="O28" s="3" t="s">
        <v>149</v>
      </c>
      <c r="P28" s="3" t="s">
        <v>20</v>
      </c>
      <c r="Q28" s="3" t="s">
        <v>152</v>
      </c>
      <c r="R28" s="3" t="s">
        <v>106</v>
      </c>
    </row>
    <row r="29" spans="1:21">
      <c r="A29" s="1"/>
      <c r="B29" s="3" t="s">
        <v>4</v>
      </c>
      <c r="C29" s="68">
        <f>C11*C17*C23</f>
        <v>0</v>
      </c>
      <c r="D29" s="68">
        <f t="shared" ref="D29:M29" si="7">D11*D17*D23</f>
        <v>0</v>
      </c>
      <c r="E29" s="68">
        <f t="shared" si="7"/>
        <v>0</v>
      </c>
      <c r="F29" s="68">
        <f t="shared" si="7"/>
        <v>0</v>
      </c>
      <c r="G29" s="68">
        <f t="shared" si="7"/>
        <v>2485511.2229231214</v>
      </c>
      <c r="H29" s="68">
        <f t="shared" si="7"/>
        <v>3095294.3765229951</v>
      </c>
      <c r="I29" s="68">
        <f t="shared" si="7"/>
        <v>1796028.5891763715</v>
      </c>
      <c r="J29" s="68">
        <f t="shared" si="7"/>
        <v>450930.71981139056</v>
      </c>
      <c r="K29" s="68">
        <f t="shared" si="7"/>
        <v>204875.39272973646</v>
      </c>
      <c r="L29" s="68">
        <f t="shared" si="7"/>
        <v>1178718.8109063846</v>
      </c>
      <c r="M29" s="68">
        <f t="shared" si="7"/>
        <v>87193.394531333106</v>
      </c>
      <c r="O29" s="69">
        <f>$B$4*SUM(C29:M29)/SUM($C$29:$M$32)</f>
        <v>0.14897229595896136</v>
      </c>
      <c r="P29" s="20">
        <f>INDEX(List!$F$4:$F$14,MATCH(B11,List!$B$4:$B$14,0))*1000</f>
        <v>142061928</v>
      </c>
      <c r="Q29" s="73">
        <f>IFERROR(O29*$B$3/P29,0)</f>
        <v>7.5815173860178359E-2</v>
      </c>
      <c r="R29" s="26">
        <f>IFERROR(SUM(O29:O30)*$B$3/SUM(P29:P30),0)</f>
        <v>7.561106201876E-2</v>
      </c>
      <c r="S29" s="22" t="s">
        <v>107</v>
      </c>
    </row>
    <row r="30" spans="1:21">
      <c r="B30" s="3" t="s">
        <v>6</v>
      </c>
      <c r="C30" s="68">
        <f t="shared" ref="C30:M30" si="8">C12*C18*C24</f>
        <v>0</v>
      </c>
      <c r="D30" s="68">
        <f t="shared" si="8"/>
        <v>0</v>
      </c>
      <c r="E30" s="68">
        <f t="shared" si="8"/>
        <v>0</v>
      </c>
      <c r="F30" s="68">
        <f t="shared" si="8"/>
        <v>0</v>
      </c>
      <c r="G30" s="68">
        <f t="shared" si="8"/>
        <v>389757.35622591671</v>
      </c>
      <c r="H30" s="68">
        <f t="shared" si="8"/>
        <v>183504.73132855367</v>
      </c>
      <c r="I30" s="68">
        <f t="shared" si="8"/>
        <v>298786.03316617513</v>
      </c>
      <c r="J30" s="68">
        <f t="shared" si="8"/>
        <v>152296.67937630115</v>
      </c>
      <c r="K30" s="68">
        <f t="shared" si="8"/>
        <v>4148.4873655144711</v>
      </c>
      <c r="L30" s="68">
        <f t="shared" si="8"/>
        <v>183424.23011039192</v>
      </c>
      <c r="M30" s="68">
        <f t="shared" si="8"/>
        <v>14296.519289243035</v>
      </c>
      <c r="O30" s="69">
        <f>$B$4*SUM(C30:M30)/SUM($C$29:$M$32)</f>
        <v>1.9645199645726408E-2</v>
      </c>
      <c r="P30" s="20">
        <f>INDEX(List!$F$4:$F$14,MATCH(B12,List!$B$4:$B$14,0))*1000</f>
        <v>19167987</v>
      </c>
      <c r="Q30" s="73">
        <f>IFERROR(O30*$B$3/P30,0)</f>
        <v>7.4098304225282643E-2</v>
      </c>
      <c r="R30" s="25">
        <f>R29</f>
        <v>7.561106201876E-2</v>
      </c>
    </row>
    <row r="31" spans="1:21">
      <c r="B31" s="3" t="s">
        <v>11</v>
      </c>
      <c r="C31" s="68">
        <f t="shared" ref="C31:M31" si="9">C13*C19*C25</f>
        <v>0</v>
      </c>
      <c r="D31" s="68">
        <f t="shared" si="9"/>
        <v>0</v>
      </c>
      <c r="E31" s="68">
        <f t="shared" si="9"/>
        <v>0</v>
      </c>
      <c r="F31" s="68">
        <f t="shared" si="9"/>
        <v>0</v>
      </c>
      <c r="G31" s="68">
        <f t="shared" si="9"/>
        <v>2312665.4984999713</v>
      </c>
      <c r="H31" s="68">
        <f t="shared" si="9"/>
        <v>4741126.0861849254</v>
      </c>
      <c r="I31" s="68">
        <f t="shared" si="9"/>
        <v>2867105.7292188699</v>
      </c>
      <c r="J31" s="68">
        <f t="shared" si="9"/>
        <v>1465664.4450147713</v>
      </c>
      <c r="K31" s="68">
        <f t="shared" si="9"/>
        <v>311361.96277134813</v>
      </c>
      <c r="L31" s="68">
        <f t="shared" si="9"/>
        <v>191196.70976791572</v>
      </c>
      <c r="M31" s="68">
        <f t="shared" si="9"/>
        <v>205717.07794581188</v>
      </c>
      <c r="O31" s="69">
        <f>$B$4*SUM(C31:M31)/SUM($C$29:$M$32)</f>
        <v>0.19377163399865421</v>
      </c>
      <c r="P31" s="20">
        <f>INDEX(List!$F$4:$F$14,MATCH(B13,List!$B$4:$B$14,0))*1000</f>
        <v>199063256</v>
      </c>
      <c r="Q31" s="73">
        <f>IFERROR(O31*$B$3/P31,0)</f>
        <v>7.0376461457919356E-2</v>
      </c>
      <c r="R31" s="26">
        <f>IFERROR(O31*$B$3/P31,0)</f>
        <v>7.0376461457919356E-2</v>
      </c>
      <c r="S31" s="22" t="s">
        <v>549</v>
      </c>
    </row>
    <row r="32" spans="1:21">
      <c r="B32" s="3" t="s">
        <v>12</v>
      </c>
      <c r="C32" s="68">
        <f t="shared" ref="C32:M32" si="10">C14*C20*C26</f>
        <v>0</v>
      </c>
      <c r="D32" s="68">
        <f t="shared" si="10"/>
        <v>0</v>
      </c>
      <c r="E32" s="68">
        <f t="shared" si="10"/>
        <v>0</v>
      </c>
      <c r="F32" s="68">
        <f t="shared" si="10"/>
        <v>0</v>
      </c>
      <c r="G32" s="68">
        <f t="shared" si="10"/>
        <v>701401.22372360714</v>
      </c>
      <c r="H32" s="68">
        <f t="shared" si="10"/>
        <v>901623.33432439144</v>
      </c>
      <c r="I32" s="68">
        <f t="shared" si="10"/>
        <v>114008.55417478083</v>
      </c>
      <c r="J32" s="68">
        <f t="shared" si="10"/>
        <v>181050.24324013782</v>
      </c>
      <c r="K32" s="68">
        <f t="shared" si="10"/>
        <v>63824.59420932713</v>
      </c>
      <c r="L32" s="68">
        <f t="shared" si="10"/>
        <v>347473.20884122344</v>
      </c>
      <c r="M32" s="68">
        <f t="shared" si="10"/>
        <v>38214.083615613112</v>
      </c>
      <c r="O32" s="69">
        <f>$B$4*SUM(C32:M32)/SUM($C$29:$M$32)</f>
        <v>3.7610870396658093E-2</v>
      </c>
      <c r="P32" s="20">
        <f>INDEX(List!$F$4:$F$14,MATCH(B14,List!$B$4:$B$14,0))*1000</f>
        <v>72755519</v>
      </c>
      <c r="Q32" s="73">
        <f>IFERROR(O32*$B$3/P32,0)</f>
        <v>3.7374532540962471E-2</v>
      </c>
      <c r="R32" s="26">
        <f>IFERROR(O32*$B$3/P32,0)</f>
        <v>3.7374532540962471E-2</v>
      </c>
      <c r="S32" s="22" t="s">
        <v>436</v>
      </c>
    </row>
    <row r="33" spans="1:23">
      <c r="A33" s="7"/>
    </row>
    <row r="34" spans="1:23">
      <c r="B34" s="3" t="s">
        <v>150</v>
      </c>
      <c r="C34" s="69">
        <f t="shared" ref="C34:M34" si="11">(1-$B$4)*SUM(C29:C32)/SUM($C$29:$M$32)</f>
        <v>0</v>
      </c>
      <c r="D34" s="69">
        <f t="shared" si="11"/>
        <v>0</v>
      </c>
      <c r="E34" s="69">
        <f t="shared" si="11"/>
        <v>0</v>
      </c>
      <c r="F34" s="69">
        <f t="shared" si="11"/>
        <v>0</v>
      </c>
      <c r="G34" s="69">
        <f t="shared" si="11"/>
        <v>0.14152973824067511</v>
      </c>
      <c r="H34" s="69">
        <f t="shared" si="11"/>
        <v>0.21439846150822944</v>
      </c>
      <c r="I34" s="69">
        <f t="shared" si="11"/>
        <v>0.12198233800505219</v>
      </c>
      <c r="J34" s="69">
        <f t="shared" si="11"/>
        <v>5.4069550874139012E-2</v>
      </c>
      <c r="K34" s="69">
        <f t="shared" si="11"/>
        <v>1.4039470671258169E-2</v>
      </c>
      <c r="L34" s="69">
        <f t="shared" si="11"/>
        <v>4.5679443749388572E-2</v>
      </c>
      <c r="M34" s="69">
        <f t="shared" si="11"/>
        <v>8.300996951257477E-3</v>
      </c>
      <c r="U34" s="34" t="s">
        <v>125</v>
      </c>
    </row>
    <row r="35" spans="1:23">
      <c r="B35" s="3" t="s">
        <v>19</v>
      </c>
      <c r="C35" s="20">
        <f>INDEX(List!$G$4:$G$14,MATCH(C10,List!$B$4:$B$14,0))*1000</f>
        <v>0</v>
      </c>
      <c r="D35" s="20">
        <f>INDEX(List!$G$4:$G$14,MATCH(D10,List!$B$4:$B$14,0))*1000</f>
        <v>16184186.1160981</v>
      </c>
      <c r="E35" s="20">
        <f>INDEX(List!$G$4:$G$14,MATCH(E10,List!$B$4:$B$14,0))*1000</f>
        <v>0</v>
      </c>
      <c r="F35" s="20">
        <f>INDEX(List!$G$4:$G$14,MATCH(F10,List!$B$4:$B$14,0))*1000</f>
        <v>28083000</v>
      </c>
      <c r="G35" s="20">
        <f>INDEX(List!$G$4:$G$14,MATCH(G10,List!$B$4:$B$14,0))*1000</f>
        <v>66304565</v>
      </c>
      <c r="H35" s="20">
        <f>INDEX(List!$G$4:$G$14,MATCH(H10,List!$B$4:$B$14,0))*1000</f>
        <v>79306360</v>
      </c>
      <c r="I35" s="20">
        <f>INDEX(List!$G$4:$G$14,MATCH(I10,List!$B$4:$B$14,0))*1000</f>
        <v>68813757</v>
      </c>
      <c r="J35" s="20">
        <f>INDEX(List!$G$4:$G$14,MATCH(J10,List!$B$4:$B$14,0))*1000</f>
        <v>33836026</v>
      </c>
      <c r="K35" s="20">
        <f>INDEX(List!$G$4:$G$14,MATCH(K10,List!$B$4:$B$14,0))*1000</f>
        <v>4768154</v>
      </c>
      <c r="L35" s="20">
        <f>INDEX(List!$G$4:$G$14,MATCH(L10,List!$B$4:$B$14,0))*1000</f>
        <v>29721968</v>
      </c>
      <c r="M35" s="20">
        <f>INDEX(List!$G$4:$G$14,MATCH(M10,List!$B$4:$B$14,0))*1000</f>
        <v>3527661</v>
      </c>
      <c r="U35" s="6" t="s">
        <v>114</v>
      </c>
      <c r="V35" s="32"/>
      <c r="W35" s="32" t="s">
        <v>112</v>
      </c>
    </row>
    <row r="36" spans="1:23">
      <c r="B36" s="3" t="s">
        <v>153</v>
      </c>
      <c r="C36" s="72">
        <f>IFERROR(C34*$B$3/C35,0)</f>
        <v>0</v>
      </c>
      <c r="D36" s="72">
        <f t="shared" ref="D36:M36" si="12">IFERROR(D34*$B$3/D35,0)</f>
        <v>0</v>
      </c>
      <c r="E36" s="72">
        <f t="shared" si="12"/>
        <v>0</v>
      </c>
      <c r="F36" s="72">
        <f t="shared" si="12"/>
        <v>0</v>
      </c>
      <c r="G36" s="72">
        <f t="shared" si="12"/>
        <v>0.15432369096348086</v>
      </c>
      <c r="H36" s="72">
        <f t="shared" si="12"/>
        <v>0.19545283582774209</v>
      </c>
      <c r="I36" s="72">
        <f t="shared" si="12"/>
        <v>0.12815926619822293</v>
      </c>
      <c r="J36" s="72">
        <f t="shared" si="12"/>
        <v>0.11553185344075349</v>
      </c>
      <c r="K36" s="72">
        <f t="shared" si="12"/>
        <v>0.21287702332376904</v>
      </c>
      <c r="L36" s="72">
        <f t="shared" si="12"/>
        <v>0.11111471405822319</v>
      </c>
      <c r="M36" s="72">
        <f t="shared" si="12"/>
        <v>0.1701264105653823</v>
      </c>
      <c r="U36" s="32" t="s">
        <v>2</v>
      </c>
      <c r="V36" s="32" t="s">
        <v>107</v>
      </c>
      <c r="W36" s="33">
        <f>R29</f>
        <v>7.561106201876E-2</v>
      </c>
    </row>
    <row r="37" spans="1:23">
      <c r="B37" s="3" t="s">
        <v>105</v>
      </c>
      <c r="C37" s="71">
        <f>IFERROR(SUM(C34:D34)*$B$3/SUM(C35:D35),0)</f>
        <v>0</v>
      </c>
      <c r="D37" s="52">
        <f>+C37</f>
        <v>0</v>
      </c>
      <c r="E37" s="71">
        <f>IFERROR(E34*$B$3/E35,0)</f>
        <v>0</v>
      </c>
      <c r="F37" s="71">
        <f>IFERROR(F34*$B$3/F35,0)</f>
        <v>0</v>
      </c>
      <c r="G37" s="71">
        <f>IFERROR(SUM(G34:M34)*$B$3/SUM(G35:M35),0)</f>
        <v>0.15152729119099162</v>
      </c>
      <c r="H37" s="52">
        <f>$G$37</f>
        <v>0.15152729119099162</v>
      </c>
      <c r="I37" s="52">
        <f t="shared" ref="I37:L37" si="13">$G$37</f>
        <v>0.15152729119099162</v>
      </c>
      <c r="J37" s="52">
        <f t="shared" si="13"/>
        <v>0.15152729119099162</v>
      </c>
      <c r="K37" s="52">
        <f t="shared" si="13"/>
        <v>0.15152729119099162</v>
      </c>
      <c r="L37" s="52">
        <f t="shared" si="13"/>
        <v>0.15152729119099162</v>
      </c>
      <c r="M37" s="52">
        <f>$G$37</f>
        <v>0.15152729119099162</v>
      </c>
      <c r="U37" s="32"/>
      <c r="V37" s="32" t="s">
        <v>549</v>
      </c>
      <c r="W37" s="33">
        <f>R31</f>
        <v>7.0376461457919356E-2</v>
      </c>
    </row>
    <row r="38" spans="1:23">
      <c r="C38" s="22" t="s">
        <v>107</v>
      </c>
      <c r="E38" s="22" t="s">
        <v>549</v>
      </c>
      <c r="F38" s="22" t="s">
        <v>436</v>
      </c>
      <c r="G38" s="22" t="s">
        <v>176</v>
      </c>
      <c r="U38" s="32"/>
      <c r="V38" s="32" t="s">
        <v>436</v>
      </c>
      <c r="W38" s="33">
        <f>R32</f>
        <v>3.7374532540962471E-2</v>
      </c>
    </row>
    <row r="39" spans="1:23">
      <c r="U39" s="32" t="s">
        <v>3</v>
      </c>
      <c r="V39" s="32" t="s">
        <v>107</v>
      </c>
      <c r="W39" s="33">
        <f>C37</f>
        <v>0</v>
      </c>
    </row>
    <row r="40" spans="1:23">
      <c r="C40" s="18"/>
      <c r="G40" s="51"/>
      <c r="U40" s="32"/>
      <c r="V40" s="32" t="s">
        <v>549</v>
      </c>
      <c r="W40" s="33">
        <f>E37</f>
        <v>0</v>
      </c>
    </row>
    <row r="41" spans="1:23">
      <c r="G41" s="51"/>
      <c r="U41" s="32"/>
      <c r="V41" s="32" t="s">
        <v>436</v>
      </c>
      <c r="W41" s="33">
        <f>F37</f>
        <v>0</v>
      </c>
    </row>
    <row r="42" spans="1:23">
      <c r="A42" s="23" t="s">
        <v>111</v>
      </c>
      <c r="U42" s="32"/>
      <c r="V42" s="32" t="s">
        <v>176</v>
      </c>
      <c r="W42" s="33">
        <f>G37</f>
        <v>0.15152729119099162</v>
      </c>
    </row>
    <row r="43" spans="1:23">
      <c r="A43" s="24" t="s">
        <v>109</v>
      </c>
      <c r="B43" t="s">
        <v>126</v>
      </c>
    </row>
    <row r="44" spans="1:23">
      <c r="A44" t="s">
        <v>154</v>
      </c>
      <c r="B44" t="s">
        <v>112</v>
      </c>
      <c r="C44" s="53"/>
    </row>
    <row r="45" spans="1:23">
      <c r="A45" s="24" t="s">
        <v>110</v>
      </c>
      <c r="B45" t="s">
        <v>112</v>
      </c>
    </row>
    <row r="46" spans="1:23"/>
    <row r="47" spans="1:23"/>
    <row r="48" spans="1:23">
      <c r="A48" s="624" t="s">
        <v>155</v>
      </c>
    </row>
    <row r="49" spans="1:2">
      <c r="A49" s="696">
        <f>SUM(C29:M32)</f>
        <v>24967199.294996124</v>
      </c>
      <c r="B49" s="79"/>
    </row>
    <row r="50" spans="1:2"/>
    <row r="51" spans="1:2"/>
  </sheetData>
  <pageMargins left="0.7" right="0.7" top="0.75" bottom="0.75" header="0.3" footer="0.3"/>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89"/>
  <sheetViews>
    <sheetView showGridLines="0" topLeftCell="A36" zoomScale="80" zoomScaleNormal="80" workbookViewId="0">
      <selection activeCell="E63" sqref="E63:G64"/>
    </sheetView>
  </sheetViews>
  <sheetFormatPr defaultRowHeight="14.4"/>
  <cols>
    <col min="1" max="1" width="29.77734375" customWidth="1"/>
    <col min="2" max="2" width="27.77734375" bestFit="1" customWidth="1"/>
    <col min="3" max="3" width="21.5546875" bestFit="1" customWidth="1"/>
    <col min="4" max="4" width="28.33203125" bestFit="1" customWidth="1"/>
    <col min="5" max="9" width="19.44140625" customWidth="1"/>
    <col min="10" max="10" width="3.88671875" customWidth="1"/>
    <col min="11" max="11" width="32.33203125" bestFit="1" customWidth="1"/>
    <col min="12" max="16" width="19.44140625" customWidth="1"/>
    <col min="17" max="17" width="4.44140625" customWidth="1"/>
    <col min="18" max="18" width="29" bestFit="1" customWidth="1"/>
    <col min="19" max="19" width="29" customWidth="1"/>
    <col min="20" max="20" width="11.77734375" customWidth="1"/>
    <col min="21" max="21" width="27" bestFit="1" customWidth="1"/>
    <col min="22" max="22" width="14.77734375" customWidth="1"/>
    <col min="23" max="23" width="20.88671875" bestFit="1" customWidth="1"/>
    <col min="25" max="25" width="13.109375" bestFit="1" customWidth="1"/>
    <col min="26" max="26" width="15.33203125" bestFit="1" customWidth="1"/>
    <col min="27" max="27" width="15.21875" bestFit="1" customWidth="1"/>
  </cols>
  <sheetData>
    <row r="1" spans="1:3" ht="15" thickBot="1">
      <c r="A1" s="2" t="s">
        <v>404</v>
      </c>
    </row>
    <row r="2" spans="1:3" ht="15" thickBot="1">
      <c r="A2" s="90" t="s">
        <v>171</v>
      </c>
      <c r="B2" s="144"/>
      <c r="C2" s="145"/>
    </row>
    <row r="3" spans="1:3">
      <c r="A3" s="113" t="s">
        <v>114</v>
      </c>
      <c r="B3" s="114"/>
      <c r="C3" s="115"/>
    </row>
    <row r="4" spans="1:3">
      <c r="A4" s="120"/>
      <c r="B4" s="80"/>
      <c r="C4" s="122" t="s">
        <v>174</v>
      </c>
    </row>
    <row r="5" spans="1:3">
      <c r="A5" s="81" t="s">
        <v>2</v>
      </c>
      <c r="B5" s="66" t="s">
        <v>107</v>
      </c>
      <c r="C5" s="116">
        <f>RPM!R29</f>
        <v>7.561106201876E-2</v>
      </c>
    </row>
    <row r="6" spans="1:3">
      <c r="A6" s="81"/>
      <c r="B6" s="66" t="s">
        <v>172</v>
      </c>
      <c r="C6" s="116">
        <f>RPM!R31</f>
        <v>7.0376461457919356E-2</v>
      </c>
    </row>
    <row r="7" spans="1:3">
      <c r="A7" s="118"/>
      <c r="B7" s="67" t="s">
        <v>173</v>
      </c>
      <c r="C7" s="119">
        <f>RPM!R32</f>
        <v>3.7374532540962471E-2</v>
      </c>
    </row>
    <row r="8" spans="1:3">
      <c r="A8" s="81" t="s">
        <v>3</v>
      </c>
      <c r="B8" s="66" t="s">
        <v>107</v>
      </c>
      <c r="C8" s="116">
        <f>RPM!C37</f>
        <v>0</v>
      </c>
    </row>
    <row r="9" spans="1:3">
      <c r="A9" s="81"/>
      <c r="B9" s="66" t="s">
        <v>172</v>
      </c>
      <c r="C9" s="116">
        <f>RPM!E37</f>
        <v>0</v>
      </c>
    </row>
    <row r="10" spans="1:3">
      <c r="A10" s="81"/>
      <c r="B10" s="66" t="s">
        <v>173</v>
      </c>
      <c r="C10" s="116">
        <f>RPM!F37</f>
        <v>0</v>
      </c>
    </row>
    <row r="11" spans="1:3" ht="15" thickBot="1">
      <c r="A11" s="82"/>
      <c r="B11" s="83" t="s">
        <v>181</v>
      </c>
      <c r="C11" s="117">
        <f>RPM!G37</f>
        <v>0.15152729119099162</v>
      </c>
    </row>
    <row r="12" spans="1:3" ht="15" thickBot="1">
      <c r="A12" s="90" t="s">
        <v>177</v>
      </c>
      <c r="B12" s="144"/>
      <c r="C12" s="145"/>
    </row>
    <row r="13" spans="1:3">
      <c r="A13" s="113" t="s">
        <v>178</v>
      </c>
      <c r="B13" s="114"/>
      <c r="C13" s="115"/>
    </row>
    <row r="14" spans="1:3">
      <c r="A14" s="120"/>
      <c r="B14" s="80"/>
      <c r="C14" s="122" t="s">
        <v>179</v>
      </c>
    </row>
    <row r="15" spans="1:3">
      <c r="A15" s="81" t="s">
        <v>2</v>
      </c>
      <c r="B15" s="66" t="s">
        <v>172</v>
      </c>
      <c r="C15" s="217">
        <f>Data_a!C6</f>
        <v>0</v>
      </c>
    </row>
    <row r="16" spans="1:3">
      <c r="A16" s="118"/>
      <c r="B16" s="67" t="s">
        <v>173</v>
      </c>
      <c r="C16" s="218">
        <f>Data_a!C7</f>
        <v>0.95</v>
      </c>
    </row>
    <row r="17" spans="1:19" ht="15" thickBot="1">
      <c r="A17" s="82" t="s">
        <v>3</v>
      </c>
      <c r="B17" s="83" t="s">
        <v>173</v>
      </c>
      <c r="C17" s="219">
        <f>Data_a!C8</f>
        <v>0.95</v>
      </c>
    </row>
    <row r="18" spans="1:19">
      <c r="A18" s="113" t="s">
        <v>201</v>
      </c>
      <c r="B18" s="114"/>
      <c r="C18" s="115"/>
    </row>
    <row r="19" spans="1:19">
      <c r="A19" s="120"/>
      <c r="B19" s="80"/>
      <c r="C19" s="122" t="s">
        <v>174</v>
      </c>
    </row>
    <row r="20" spans="1:19">
      <c r="A20" s="81" t="s">
        <v>2</v>
      </c>
      <c r="B20" s="66" t="s">
        <v>107</v>
      </c>
      <c r="C20" s="116">
        <f>C5</f>
        <v>7.561106201876E-2</v>
      </c>
    </row>
    <row r="21" spans="1:19">
      <c r="A21" s="81"/>
      <c r="B21" s="66" t="s">
        <v>172</v>
      </c>
      <c r="C21" s="116">
        <f>C6*(1-C15)</f>
        <v>7.0376461457919356E-2</v>
      </c>
    </row>
    <row r="22" spans="1:19">
      <c r="A22" s="118"/>
      <c r="B22" s="67" t="s">
        <v>173</v>
      </c>
      <c r="C22" s="119">
        <f>C7*(1-C16)</f>
        <v>1.8687266270481253E-3</v>
      </c>
    </row>
    <row r="23" spans="1:19">
      <c r="A23" s="81" t="s">
        <v>3</v>
      </c>
      <c r="B23" s="66" t="s">
        <v>107</v>
      </c>
      <c r="C23" s="116">
        <f t="shared" ref="C23:C26" si="0">C8</f>
        <v>0</v>
      </c>
    </row>
    <row r="24" spans="1:19">
      <c r="A24" s="81"/>
      <c r="B24" s="66" t="s">
        <v>172</v>
      </c>
      <c r="C24" s="116">
        <f t="shared" si="0"/>
        <v>0</v>
      </c>
    </row>
    <row r="25" spans="1:19">
      <c r="A25" s="81"/>
      <c r="B25" s="66" t="s">
        <v>173</v>
      </c>
      <c r="C25" s="116">
        <f>C10*(1-C17)</f>
        <v>0</v>
      </c>
    </row>
    <row r="26" spans="1:19" ht="15" thickBot="1">
      <c r="A26" s="82"/>
      <c r="B26" s="83" t="s">
        <v>181</v>
      </c>
      <c r="C26" s="117">
        <f t="shared" si="0"/>
        <v>0.15152729119099162</v>
      </c>
    </row>
    <row r="27" spans="1:19" ht="15" thickBot="1">
      <c r="D27" s="90" t="s">
        <v>180</v>
      </c>
      <c r="E27" s="144"/>
      <c r="F27" s="144"/>
      <c r="G27" s="144"/>
      <c r="H27" s="144"/>
      <c r="I27" s="144"/>
      <c r="J27" s="144"/>
      <c r="K27" s="158"/>
      <c r="L27" s="144"/>
      <c r="M27" s="144"/>
      <c r="N27" s="144"/>
      <c r="O27" s="144"/>
      <c r="P27" s="144"/>
      <c r="Q27" s="144"/>
      <c r="R27" s="145"/>
      <c r="S27" s="145"/>
    </row>
    <row r="28" spans="1:19" s="70" customFormat="1" ht="15" thickBot="1">
      <c r="A28" s="112"/>
      <c r="D28" s="137" t="s">
        <v>183</v>
      </c>
      <c r="E28" s="138"/>
      <c r="F28" s="138"/>
      <c r="G28" s="138"/>
      <c r="H28" s="138"/>
      <c r="I28" s="139"/>
      <c r="K28" s="137" t="s">
        <v>188</v>
      </c>
      <c r="L28" s="138"/>
      <c r="M28" s="138"/>
      <c r="N28" s="138"/>
      <c r="O28" s="138"/>
      <c r="P28" s="139"/>
      <c r="R28" s="171" t="s">
        <v>373</v>
      </c>
      <c r="S28" s="171" t="s">
        <v>374</v>
      </c>
    </row>
    <row r="29" spans="1:19" s="70" customFormat="1" ht="15" thickBot="1">
      <c r="A29" s="112"/>
      <c r="D29" s="94" t="s">
        <v>162</v>
      </c>
      <c r="E29" s="142"/>
      <c r="F29" s="142"/>
      <c r="G29" s="142"/>
      <c r="H29" s="142"/>
      <c r="I29" s="143"/>
      <c r="K29" s="94" t="s">
        <v>162</v>
      </c>
      <c r="L29" s="482"/>
      <c r="M29" s="482"/>
      <c r="N29" s="482"/>
      <c r="O29" s="482"/>
      <c r="P29" s="483"/>
      <c r="R29" s="165" t="s">
        <v>162</v>
      </c>
      <c r="S29" s="165" t="s">
        <v>162</v>
      </c>
    </row>
    <row r="30" spans="1:19">
      <c r="D30" s="160"/>
      <c r="E30" s="161" t="s">
        <v>190</v>
      </c>
      <c r="F30" s="161" t="s">
        <v>192</v>
      </c>
      <c r="G30" s="161" t="s">
        <v>191</v>
      </c>
      <c r="H30" s="161" t="s">
        <v>193</v>
      </c>
      <c r="I30" s="162" t="s">
        <v>194</v>
      </c>
      <c r="K30" s="160"/>
      <c r="L30" s="161" t="s">
        <v>190</v>
      </c>
      <c r="M30" s="161" t="s">
        <v>192</v>
      </c>
      <c r="N30" s="161" t="s">
        <v>191</v>
      </c>
      <c r="O30" s="161" t="s">
        <v>193</v>
      </c>
      <c r="P30" s="162" t="s">
        <v>194</v>
      </c>
      <c r="R30" s="167"/>
      <c r="S30" s="167"/>
    </row>
    <row r="31" spans="1:19">
      <c r="D31" s="127"/>
      <c r="E31" s="96" t="s">
        <v>174</v>
      </c>
      <c r="F31" s="96" t="s">
        <v>174</v>
      </c>
      <c r="G31" s="96" t="s">
        <v>174</v>
      </c>
      <c r="H31" s="96" t="s">
        <v>174</v>
      </c>
      <c r="I31" s="128" t="s">
        <v>174</v>
      </c>
      <c r="K31" s="127"/>
      <c r="L31" s="96" t="s">
        <v>142</v>
      </c>
      <c r="M31" s="96" t="s">
        <v>142</v>
      </c>
      <c r="N31" s="96" t="s">
        <v>142</v>
      </c>
      <c r="O31" s="96" t="s">
        <v>142</v>
      </c>
      <c r="P31" s="128" t="s">
        <v>142</v>
      </c>
      <c r="R31" s="168"/>
      <c r="S31" s="168"/>
    </row>
    <row r="32" spans="1:19">
      <c r="D32" s="129" t="s">
        <v>107</v>
      </c>
      <c r="E32" s="135">
        <f>$C20*Data_b!B39</f>
        <v>7.561106201876E-2</v>
      </c>
      <c r="F32" s="135">
        <f>$C20*Data_b!C39</f>
        <v>9.8294380624388E-2</v>
      </c>
      <c r="G32" s="135">
        <f>$C20*Data_b!D39</f>
        <v>0.11341659302814</v>
      </c>
      <c r="H32" s="135">
        <f>$C20*Data_b!E39</f>
        <v>0.15122212403752</v>
      </c>
      <c r="I32" s="136">
        <f>$C20*Data_b!F39</f>
        <v>0.166344336441272</v>
      </c>
      <c r="K32" s="129" t="s">
        <v>107</v>
      </c>
      <c r="L32" s="159">
        <f>Inputs!B12*E32</f>
        <v>7640911.9860392427</v>
      </c>
      <c r="M32" s="159">
        <f>Inputs!C12*F32</f>
        <v>371691.67784551694</v>
      </c>
      <c r="N32" s="159">
        <f>Inputs!D12*G32</f>
        <v>362500.44167409354</v>
      </c>
      <c r="O32" s="159">
        <f>Inputs!E12*H32</f>
        <v>945097.6275323712</v>
      </c>
      <c r="P32" s="163">
        <f>Inputs!F12*I32</f>
        <v>0</v>
      </c>
      <c r="R32" s="169">
        <f>SUM(L32:P32)</f>
        <v>9320201.733091224</v>
      </c>
      <c r="S32" s="169">
        <f>R32*$U$77</f>
        <v>22803759.861175388</v>
      </c>
    </row>
    <row r="33" spans="4:19">
      <c r="D33" s="129" t="s">
        <v>172</v>
      </c>
      <c r="E33" s="135">
        <f>$C21*Data_b!B40</f>
        <v>7.0376461457919356E-2</v>
      </c>
      <c r="F33" s="135">
        <f>$C21*Data_b!C40</f>
        <v>9.148939989529517E-2</v>
      </c>
      <c r="G33" s="135">
        <f>$C21*Data_b!D40</f>
        <v>0.10556469218687903</v>
      </c>
      <c r="H33" s="135">
        <f>$C21*Data_b!E40</f>
        <v>0.14075292291583871</v>
      </c>
      <c r="I33" s="136">
        <f>$C21*Data_b!F40</f>
        <v>0.1548282152074226</v>
      </c>
      <c r="K33" s="129" t="s">
        <v>172</v>
      </c>
      <c r="L33" s="159">
        <f>Inputs!B13*E33</f>
        <v>4075716.4991990519</v>
      </c>
      <c r="M33" s="159">
        <f>Inputs!C13*F33</f>
        <v>2787.7312443748897</v>
      </c>
      <c r="N33" s="159">
        <f>Inputs!D13*G33</f>
        <v>554962.01926745835</v>
      </c>
      <c r="O33" s="159">
        <f>Inputs!E13*H33</f>
        <v>1215804.1273209197</v>
      </c>
      <c r="P33" s="163">
        <f>Inputs!F13*I33</f>
        <v>0</v>
      </c>
      <c r="R33" s="169">
        <f t="shared" ref="R33:R34" si="1">SUM(L33:P33)</f>
        <v>5849270.377031805</v>
      </c>
      <c r="S33" s="169">
        <f t="shared" ref="S33:S34" si="2">R33*$U$77</f>
        <v>14311423.81471611</v>
      </c>
    </row>
    <row r="34" spans="4:19">
      <c r="D34" s="129" t="s">
        <v>173</v>
      </c>
      <c r="E34" s="98"/>
      <c r="F34" s="98"/>
      <c r="G34" s="98"/>
      <c r="H34" s="135">
        <f>$C22*Data_b!E41</f>
        <v>1.8687266270481253E-3</v>
      </c>
      <c r="I34" s="136">
        <f>$C22*Data_b!F41</f>
        <v>2.0555992897529378E-3</v>
      </c>
      <c r="K34" s="129" t="s">
        <v>173</v>
      </c>
      <c r="L34" s="98"/>
      <c r="M34" s="98"/>
      <c r="N34" s="98"/>
      <c r="O34" s="159">
        <f>Inputs!E14*H34</f>
        <v>8507.9101522611818</v>
      </c>
      <c r="P34" s="163">
        <f>Inputs!F14*I34</f>
        <v>0</v>
      </c>
      <c r="R34" s="169">
        <f t="shared" si="1"/>
        <v>8507.9101522611818</v>
      </c>
      <c r="S34" s="169">
        <f t="shared" si="2"/>
        <v>20816.324108498906</v>
      </c>
    </row>
    <row r="35" spans="4:19" ht="15" thickBot="1">
      <c r="D35" s="149"/>
      <c r="E35" s="150"/>
      <c r="F35" s="150"/>
      <c r="G35" s="150"/>
      <c r="H35" s="150"/>
      <c r="I35" s="134"/>
      <c r="K35" s="149"/>
      <c r="L35" s="150"/>
      <c r="M35" s="150"/>
      <c r="N35" s="150"/>
      <c r="O35" s="150"/>
      <c r="P35" s="134"/>
      <c r="R35" s="168"/>
      <c r="S35" s="168"/>
    </row>
    <row r="36" spans="4:19" ht="15" thickBot="1">
      <c r="D36" s="94" t="s">
        <v>163</v>
      </c>
      <c r="E36" s="142"/>
      <c r="F36" s="142"/>
      <c r="G36" s="142"/>
      <c r="H36" s="142"/>
      <c r="I36" s="143"/>
      <c r="K36" s="94" t="s">
        <v>163</v>
      </c>
      <c r="L36" s="142"/>
      <c r="M36" s="142"/>
      <c r="N36" s="142"/>
      <c r="O36" s="142"/>
      <c r="P36" s="143"/>
      <c r="R36" s="165" t="s">
        <v>163</v>
      </c>
      <c r="S36" s="165" t="s">
        <v>163</v>
      </c>
    </row>
    <row r="37" spans="4:19">
      <c r="D37" s="183" t="s">
        <v>164</v>
      </c>
      <c r="E37" s="161" t="s">
        <v>190</v>
      </c>
      <c r="F37" s="161" t="s">
        <v>192</v>
      </c>
      <c r="G37" s="161" t="s">
        <v>191</v>
      </c>
      <c r="H37" s="161" t="s">
        <v>193</v>
      </c>
      <c r="I37" s="162" t="s">
        <v>194</v>
      </c>
      <c r="K37" s="151" t="s">
        <v>164</v>
      </c>
      <c r="L37" s="140" t="s">
        <v>190</v>
      </c>
      <c r="M37" s="140" t="s">
        <v>192</v>
      </c>
      <c r="N37" s="140" t="s">
        <v>191</v>
      </c>
      <c r="O37" s="140" t="s">
        <v>193</v>
      </c>
      <c r="P37" s="141" t="s">
        <v>194</v>
      </c>
      <c r="R37" s="168"/>
      <c r="S37" s="168"/>
    </row>
    <row r="38" spans="4:19">
      <c r="D38" s="148"/>
      <c r="E38" s="96" t="s">
        <v>174</v>
      </c>
      <c r="F38" s="96" t="s">
        <v>174</v>
      </c>
      <c r="G38" s="96" t="s">
        <v>174</v>
      </c>
      <c r="H38" s="96" t="s">
        <v>174</v>
      </c>
      <c r="I38" s="128" t="s">
        <v>174</v>
      </c>
      <c r="K38" s="148"/>
      <c r="L38" s="96" t="s">
        <v>142</v>
      </c>
      <c r="M38" s="96" t="s">
        <v>142</v>
      </c>
      <c r="N38" s="96" t="s">
        <v>142</v>
      </c>
      <c r="O38" s="96" t="s">
        <v>142</v>
      </c>
      <c r="P38" s="128" t="s">
        <v>142</v>
      </c>
      <c r="R38" s="168"/>
      <c r="S38" s="168"/>
    </row>
    <row r="39" spans="4:19">
      <c r="D39" s="129" t="s">
        <v>107</v>
      </c>
      <c r="E39" s="135">
        <f>$C23*Data_b!B39</f>
        <v>0</v>
      </c>
      <c r="F39" s="135">
        <f>$C23*Data_b!C39</f>
        <v>0</v>
      </c>
      <c r="G39" s="135">
        <f>$C23*Data_b!D39</f>
        <v>0</v>
      </c>
      <c r="H39" s="135">
        <f>$C23*Data_b!E39</f>
        <v>0</v>
      </c>
      <c r="I39" s="136">
        <f>$C23*Data_b!F39</f>
        <v>0</v>
      </c>
      <c r="K39" s="129" t="s">
        <v>107</v>
      </c>
      <c r="L39" s="159">
        <f>Inputs!B19*E39</f>
        <v>0</v>
      </c>
      <c r="M39" s="159">
        <f>Inputs!C19*F39</f>
        <v>0</v>
      </c>
      <c r="N39" s="159">
        <f>Inputs!D19*G39</f>
        <v>0</v>
      </c>
      <c r="O39" s="159">
        <f>Inputs!E19*H39</f>
        <v>0</v>
      </c>
      <c r="P39" s="159">
        <f>Inputs!F19*I39</f>
        <v>0</v>
      </c>
      <c r="R39" s="169">
        <f>SUM(L39:P39)</f>
        <v>0</v>
      </c>
      <c r="S39" s="169">
        <f>R39*$U$78</f>
        <v>0</v>
      </c>
    </row>
    <row r="40" spans="4:19">
      <c r="D40" s="129" t="s">
        <v>172</v>
      </c>
      <c r="E40" s="135">
        <f>$C24*Data_b!B40</f>
        <v>0</v>
      </c>
      <c r="F40" s="135">
        <f>$C24*Data_b!C40</f>
        <v>0</v>
      </c>
      <c r="G40" s="135">
        <f>$C24*Data_b!D40</f>
        <v>0</v>
      </c>
      <c r="H40" s="135">
        <f>$C24*Data_b!E40</f>
        <v>0</v>
      </c>
      <c r="I40" s="136">
        <f>$C24*Data_b!F40</f>
        <v>0</v>
      </c>
      <c r="K40" s="129" t="s">
        <v>172</v>
      </c>
      <c r="L40" s="159">
        <f>Inputs!B20*E40</f>
        <v>0</v>
      </c>
      <c r="M40" s="159">
        <f>Inputs!C20*F40</f>
        <v>0</v>
      </c>
      <c r="N40" s="159">
        <f>Inputs!D20*G40</f>
        <v>0</v>
      </c>
      <c r="O40" s="159">
        <f>Inputs!E20*H40</f>
        <v>0</v>
      </c>
      <c r="P40" s="159">
        <f>Inputs!F20*I40</f>
        <v>0</v>
      </c>
      <c r="R40" s="169">
        <f t="shared" ref="R40:R41" si="3">SUM(L40:P40)</f>
        <v>0</v>
      </c>
      <c r="S40" s="169">
        <f t="shared" ref="S40:S41" si="4">R40*$U$78</f>
        <v>0</v>
      </c>
    </row>
    <row r="41" spans="4:19">
      <c r="D41" s="129" t="s">
        <v>173</v>
      </c>
      <c r="E41" s="98"/>
      <c r="F41" s="98"/>
      <c r="G41" s="98"/>
      <c r="H41" s="135">
        <f>$C25*Data_b!E41</f>
        <v>0</v>
      </c>
      <c r="I41" s="136">
        <f>$C25*Data_b!F41</f>
        <v>0</v>
      </c>
      <c r="K41" s="129" t="s">
        <v>173</v>
      </c>
      <c r="L41" s="98"/>
      <c r="M41" s="98"/>
      <c r="N41" s="98"/>
      <c r="O41" s="159">
        <f>Inputs!E21*H41</f>
        <v>0</v>
      </c>
      <c r="P41" s="159">
        <f>Inputs!F21*I41</f>
        <v>0</v>
      </c>
      <c r="R41" s="169">
        <f t="shared" si="3"/>
        <v>0</v>
      </c>
      <c r="S41" s="169">
        <f t="shared" si="4"/>
        <v>0</v>
      </c>
    </row>
    <row r="42" spans="4:19">
      <c r="D42" s="151" t="s">
        <v>185</v>
      </c>
      <c r="E42" s="140" t="s">
        <v>190</v>
      </c>
      <c r="F42" s="140" t="s">
        <v>192</v>
      </c>
      <c r="G42" s="140" t="s">
        <v>191</v>
      </c>
      <c r="H42" s="140" t="s">
        <v>193</v>
      </c>
      <c r="I42" s="141" t="s">
        <v>194</v>
      </c>
      <c r="K42" s="151" t="s">
        <v>185</v>
      </c>
      <c r="L42" s="140" t="s">
        <v>190</v>
      </c>
      <c r="M42" s="140" t="s">
        <v>192</v>
      </c>
      <c r="N42" s="140" t="s">
        <v>191</v>
      </c>
      <c r="O42" s="140" t="s">
        <v>193</v>
      </c>
      <c r="P42" s="141" t="s">
        <v>194</v>
      </c>
      <c r="R42" s="168"/>
      <c r="S42" s="168"/>
    </row>
    <row r="43" spans="4:19">
      <c r="D43" s="148"/>
      <c r="E43" s="96" t="s">
        <v>184</v>
      </c>
      <c r="F43" s="96" t="s">
        <v>184</v>
      </c>
      <c r="G43" s="96" t="s">
        <v>184</v>
      </c>
      <c r="H43" s="96" t="s">
        <v>184</v>
      </c>
      <c r="I43" s="128" t="s">
        <v>184</v>
      </c>
      <c r="K43" s="148"/>
      <c r="L43" s="96" t="s">
        <v>142</v>
      </c>
      <c r="M43" s="96" t="s">
        <v>142</v>
      </c>
      <c r="N43" s="96" t="s">
        <v>142</v>
      </c>
      <c r="O43" s="96" t="s">
        <v>142</v>
      </c>
      <c r="P43" s="128" t="s">
        <v>142</v>
      </c>
      <c r="R43" s="168"/>
      <c r="S43" s="168"/>
    </row>
    <row r="44" spans="4:19">
      <c r="D44" s="129" t="s">
        <v>107</v>
      </c>
      <c r="E44" s="273">
        <f>UCC!$B$21</f>
        <v>1.7297436021619313E-5</v>
      </c>
      <c r="F44" s="273">
        <f>UCC!$B$21</f>
        <v>1.7297436021619313E-5</v>
      </c>
      <c r="G44" s="273">
        <f>UCC!$B$21</f>
        <v>1.7297436021619313E-5</v>
      </c>
      <c r="H44" s="273">
        <f>UCC!$B$21</f>
        <v>1.7297436021619313E-5</v>
      </c>
      <c r="I44" s="274">
        <f>UCC!$B$21</f>
        <v>1.7297436021619313E-5</v>
      </c>
      <c r="K44" s="129" t="s">
        <v>107</v>
      </c>
      <c r="L44" s="159">
        <f>Inputs!B24*E44</f>
        <v>0</v>
      </c>
      <c r="M44" s="159">
        <f>Inputs!C24*F44</f>
        <v>0</v>
      </c>
      <c r="N44" s="159">
        <f>Inputs!D24*G44</f>
        <v>0</v>
      </c>
      <c r="O44" s="159">
        <f>Inputs!E24*H44</f>
        <v>0</v>
      </c>
      <c r="P44" s="163">
        <f>Inputs!F24*I44</f>
        <v>0</v>
      </c>
      <c r="R44" s="169">
        <f t="shared" ref="R44:R46" si="5">SUM(L44:P44)</f>
        <v>0</v>
      </c>
      <c r="S44" s="169">
        <f t="shared" ref="S44:S46" si="6">R44*$U$78</f>
        <v>0</v>
      </c>
    </row>
    <row r="45" spans="4:19">
      <c r="D45" s="129" t="s">
        <v>172</v>
      </c>
      <c r="E45" s="273">
        <f>UCC!$B$21</f>
        <v>1.7297436021619313E-5</v>
      </c>
      <c r="F45" s="273">
        <f>UCC!$B$21</f>
        <v>1.7297436021619313E-5</v>
      </c>
      <c r="G45" s="273">
        <f>UCC!$B$21</f>
        <v>1.7297436021619313E-5</v>
      </c>
      <c r="H45" s="273">
        <f>UCC!$B$21</f>
        <v>1.7297436021619313E-5</v>
      </c>
      <c r="I45" s="274">
        <f>UCC!$B$21</f>
        <v>1.7297436021619313E-5</v>
      </c>
      <c r="K45" s="129" t="s">
        <v>172</v>
      </c>
      <c r="L45" s="159">
        <f>Inputs!B25*E45</f>
        <v>0</v>
      </c>
      <c r="M45" s="159">
        <f>Inputs!C25*F45</f>
        <v>0</v>
      </c>
      <c r="N45" s="159">
        <f>Inputs!D25*G45</f>
        <v>0</v>
      </c>
      <c r="O45" s="159">
        <f>Inputs!E25*H45</f>
        <v>0</v>
      </c>
      <c r="P45" s="163">
        <f>Inputs!F25*I45</f>
        <v>0</v>
      </c>
      <c r="R45" s="169">
        <f t="shared" si="5"/>
        <v>0</v>
      </c>
      <c r="S45" s="169">
        <f t="shared" si="6"/>
        <v>0</v>
      </c>
    </row>
    <row r="46" spans="4:19">
      <c r="D46" s="129" t="s">
        <v>173</v>
      </c>
      <c r="E46" s="275"/>
      <c r="F46" s="275"/>
      <c r="G46" s="275"/>
      <c r="H46" s="273">
        <f>UCC!$B$21</f>
        <v>1.7297436021619313E-5</v>
      </c>
      <c r="I46" s="274">
        <f>UCC!$B$21</f>
        <v>1.7297436021619313E-5</v>
      </c>
      <c r="K46" s="129" t="s">
        <v>173</v>
      </c>
      <c r="L46" s="98"/>
      <c r="M46" s="98"/>
      <c r="N46" s="98"/>
      <c r="O46" s="159">
        <f>Inputs!E26*H46</f>
        <v>0</v>
      </c>
      <c r="P46" s="163">
        <f>Inputs!F26*I46</f>
        <v>0</v>
      </c>
      <c r="R46" s="169">
        <f t="shared" si="5"/>
        <v>0</v>
      </c>
      <c r="S46" s="169">
        <f t="shared" si="6"/>
        <v>0</v>
      </c>
    </row>
    <row r="47" spans="4:19" ht="15" thickBot="1">
      <c r="D47" s="149"/>
      <c r="E47" s="150"/>
      <c r="F47" s="150"/>
      <c r="G47" s="150"/>
      <c r="H47" s="150"/>
      <c r="I47" s="134"/>
      <c r="K47" s="130"/>
      <c r="L47" s="29"/>
      <c r="M47" s="29"/>
      <c r="N47" s="29"/>
      <c r="O47" s="29"/>
      <c r="P47" s="131"/>
      <c r="R47" s="168"/>
      <c r="S47" s="168"/>
    </row>
    <row r="48" spans="4:19" ht="15" thickBot="1">
      <c r="D48" s="94" t="s">
        <v>186</v>
      </c>
      <c r="E48" s="142"/>
      <c r="F48" s="142"/>
      <c r="G48" s="142"/>
      <c r="H48" s="142"/>
      <c r="I48" s="143"/>
      <c r="K48" s="94" t="s">
        <v>186</v>
      </c>
      <c r="L48" s="142"/>
      <c r="M48" s="142"/>
      <c r="N48" s="142"/>
      <c r="O48" s="142"/>
      <c r="P48" s="143"/>
      <c r="R48" s="165" t="s">
        <v>186</v>
      </c>
      <c r="S48" s="165" t="s">
        <v>186</v>
      </c>
    </row>
    <row r="49" spans="4:19">
      <c r="D49" s="153" t="s">
        <v>187</v>
      </c>
      <c r="E49" s="155" t="s">
        <v>164</v>
      </c>
      <c r="F49" s="156" t="s">
        <v>164</v>
      </c>
      <c r="G49" s="155" t="s">
        <v>185</v>
      </c>
      <c r="H49" s="157" t="s">
        <v>185</v>
      </c>
      <c r="I49" s="152"/>
      <c r="K49" s="153" t="s">
        <v>187</v>
      </c>
      <c r="L49" s="155" t="s">
        <v>164</v>
      </c>
      <c r="M49" s="156" t="s">
        <v>164</v>
      </c>
      <c r="N49" s="155" t="s">
        <v>185</v>
      </c>
      <c r="O49" s="155" t="s">
        <v>185</v>
      </c>
      <c r="P49" s="152"/>
      <c r="R49" s="168"/>
      <c r="S49" s="168"/>
    </row>
    <row r="50" spans="4:19">
      <c r="D50" s="154"/>
      <c r="E50" s="104" t="s">
        <v>539</v>
      </c>
      <c r="F50" s="104" t="s">
        <v>540</v>
      </c>
      <c r="G50" s="104" t="s">
        <v>539</v>
      </c>
      <c r="H50" s="104" t="s">
        <v>540</v>
      </c>
      <c r="I50" s="131"/>
      <c r="K50" s="154"/>
      <c r="L50" s="104" t="s">
        <v>539</v>
      </c>
      <c r="M50" s="104" t="s">
        <v>540</v>
      </c>
      <c r="N50" s="104" t="s">
        <v>539</v>
      </c>
      <c r="O50" s="104" t="s">
        <v>540</v>
      </c>
      <c r="P50" s="131"/>
      <c r="R50" s="168"/>
      <c r="S50" s="168"/>
    </row>
    <row r="51" spans="4:19">
      <c r="D51" s="127"/>
      <c r="E51" s="105" t="s">
        <v>174</v>
      </c>
      <c r="F51" s="105" t="s">
        <v>174</v>
      </c>
      <c r="G51" s="105" t="s">
        <v>184</v>
      </c>
      <c r="H51" s="105" t="s">
        <v>184</v>
      </c>
      <c r="I51" s="131"/>
      <c r="K51" s="127"/>
      <c r="L51" s="105" t="s">
        <v>142</v>
      </c>
      <c r="M51" s="105" t="s">
        <v>142</v>
      </c>
      <c r="N51" s="105" t="s">
        <v>142</v>
      </c>
      <c r="O51" s="105" t="s">
        <v>142</v>
      </c>
      <c r="P51" s="131"/>
      <c r="R51" s="168"/>
      <c r="S51" s="168"/>
    </row>
    <row r="52" spans="4:19">
      <c r="D52" s="129" t="s">
        <v>536</v>
      </c>
      <c r="E52" s="135">
        <f>$C$11</f>
        <v>0.15152729119099162</v>
      </c>
      <c r="F52" s="135">
        <f t="shared" ref="F52:F53" si="7">$C$11</f>
        <v>0.15152729119099162</v>
      </c>
      <c r="G52" s="273">
        <f>H52*Data_b!$B$54/Data_b!$B$55</f>
        <v>4.3252057330422499E-4</v>
      </c>
      <c r="H52" s="273">
        <f>UCC!$B$21</f>
        <v>1.7297436021619313E-5</v>
      </c>
      <c r="I52" s="131"/>
      <c r="K52" s="129" t="s">
        <v>536</v>
      </c>
      <c r="L52" s="159">
        <f>Inputs!B32*E52</f>
        <v>131093.77444839329</v>
      </c>
      <c r="M52" s="159">
        <f>Inputs!C32*F52</f>
        <v>16070393.60880642</v>
      </c>
      <c r="N52" s="159">
        <f>Inputs!D32*G52</f>
        <v>87786.795399656316</v>
      </c>
      <c r="O52" s="159">
        <f>Inputs!E32*H52</f>
        <v>430376.55491333542</v>
      </c>
      <c r="P52" s="131"/>
      <c r="R52" s="169">
        <f t="shared" ref="R52:R54" si="8">SUM(L52:P52)</f>
        <v>16719650.733567804</v>
      </c>
      <c r="S52" s="169">
        <f t="shared" ref="S52:S54" si="9">R52*$U$78</f>
        <v>18980177.063955996</v>
      </c>
    </row>
    <row r="53" spans="4:19">
      <c r="D53" s="129" t="s">
        <v>537</v>
      </c>
      <c r="E53" s="135">
        <f t="shared" ref="E53" si="10">$C$11</f>
        <v>0.15152729119099162</v>
      </c>
      <c r="F53" s="135">
        <f t="shared" si="7"/>
        <v>0.15152729119099162</v>
      </c>
      <c r="G53" s="273">
        <f>H53*Data_b!$B$54/Data_b!$B$55</f>
        <v>4.3252057330422499E-4</v>
      </c>
      <c r="H53" s="273">
        <f>UCC!$B$21</f>
        <v>1.7297436021619313E-5</v>
      </c>
      <c r="I53" s="131"/>
      <c r="K53" s="129" t="s">
        <v>537</v>
      </c>
      <c r="L53" s="159">
        <f>Inputs!B33*E53</f>
        <v>128080.33697032556</v>
      </c>
      <c r="M53" s="159">
        <f>Inputs!C33*F53</f>
        <v>8565058.0873499326</v>
      </c>
      <c r="N53" s="159">
        <f>Inputs!D33*G53</f>
        <v>5424.6094498573129</v>
      </c>
      <c r="O53" s="159">
        <f>Inputs!E33*H53</f>
        <v>279160.8074311422</v>
      </c>
      <c r="P53" s="131"/>
      <c r="R53" s="169">
        <f t="shared" si="8"/>
        <v>8977723.8412012588</v>
      </c>
      <c r="S53" s="169">
        <f t="shared" si="9"/>
        <v>10191527.972243574</v>
      </c>
    </row>
    <row r="54" spans="4:19">
      <c r="D54" s="129" t="s">
        <v>538</v>
      </c>
      <c r="E54" s="135">
        <f t="array" ref="E54:H54">TRANSPOSE('Short uses'!C26:C29)</f>
        <v>5.0509097063663869E-2</v>
      </c>
      <c r="F54" s="135">
        <v>5.0509097063663869E-2</v>
      </c>
      <c r="G54" s="273">
        <v>1.5549449524967555E-3</v>
      </c>
      <c r="H54" s="273">
        <v>1.1397218152141499E-3</v>
      </c>
      <c r="I54" s="131"/>
      <c r="K54" s="129" t="s">
        <v>538</v>
      </c>
      <c r="L54" s="159">
        <f>Inputs!B34*E54</f>
        <v>0</v>
      </c>
      <c r="M54" s="159">
        <f>Inputs!C34*F54</f>
        <v>0</v>
      </c>
      <c r="N54" s="159">
        <f>Inputs!D34*G54</f>
        <v>0</v>
      </c>
      <c r="O54" s="159">
        <f>Inputs!E34*H54</f>
        <v>0</v>
      </c>
      <c r="P54" s="131"/>
      <c r="R54" s="169">
        <f t="shared" si="8"/>
        <v>0</v>
      </c>
      <c r="S54" s="169">
        <f t="shared" si="9"/>
        <v>0</v>
      </c>
    </row>
    <row r="55" spans="4:19">
      <c r="D55" s="154" t="s">
        <v>187</v>
      </c>
      <c r="E55" s="103" t="s">
        <v>164</v>
      </c>
      <c r="F55" s="99" t="s">
        <v>164</v>
      </c>
      <c r="G55" s="103" t="s">
        <v>185</v>
      </c>
      <c r="H55" s="100"/>
      <c r="I55" s="131"/>
      <c r="K55" s="154" t="s">
        <v>187</v>
      </c>
      <c r="L55" s="103" t="s">
        <v>164</v>
      </c>
      <c r="M55" s="99" t="s">
        <v>164</v>
      </c>
      <c r="N55" s="103" t="s">
        <v>185</v>
      </c>
      <c r="O55" s="100"/>
      <c r="P55" s="131"/>
      <c r="R55" s="168"/>
      <c r="S55" s="168"/>
    </row>
    <row r="56" spans="4:19">
      <c r="D56" s="127"/>
      <c r="E56" s="104" t="s">
        <v>547</v>
      </c>
      <c r="F56" s="106" t="s">
        <v>548</v>
      </c>
      <c r="G56" s="104"/>
      <c r="H56" s="107"/>
      <c r="I56" s="131"/>
      <c r="K56" s="127"/>
      <c r="L56" s="104" t="s">
        <v>547</v>
      </c>
      <c r="M56" s="106" t="s">
        <v>548</v>
      </c>
      <c r="N56" s="104"/>
      <c r="O56" s="107"/>
      <c r="P56" s="131"/>
      <c r="R56" s="168"/>
      <c r="S56" s="168"/>
    </row>
    <row r="57" spans="4:19">
      <c r="D57" s="127"/>
      <c r="E57" s="105" t="s">
        <v>174</v>
      </c>
      <c r="F57" s="101" t="s">
        <v>174</v>
      </c>
      <c r="G57" s="105" t="s">
        <v>184</v>
      </c>
      <c r="H57" s="102"/>
      <c r="I57" s="131"/>
      <c r="K57" s="127"/>
      <c r="L57" s="105" t="s">
        <v>142</v>
      </c>
      <c r="M57" s="101" t="s">
        <v>142</v>
      </c>
      <c r="N57" s="105" t="s">
        <v>142</v>
      </c>
      <c r="O57" s="102"/>
      <c r="P57" s="131"/>
      <c r="R57" s="168"/>
      <c r="S57" s="168"/>
    </row>
    <row r="58" spans="4:19">
      <c r="D58" s="129" t="s">
        <v>541</v>
      </c>
      <c r="E58" s="135">
        <f>Data_b!B47*$C$26</f>
        <v>0.90916374714594972</v>
      </c>
      <c r="F58" s="135">
        <f>Data_b!C47*$C$26</f>
        <v>1.5152729119099162</v>
      </c>
      <c r="G58" s="273">
        <f>UCC!$B$21</f>
        <v>1.7297436021619313E-5</v>
      </c>
      <c r="H58" s="98"/>
      <c r="I58" s="131"/>
      <c r="K58" s="129" t="s">
        <v>541</v>
      </c>
      <c r="L58" s="159">
        <f>Inputs!B38*E58/2</f>
        <v>0</v>
      </c>
      <c r="M58" s="159">
        <f>Inputs!C38*F58/2</f>
        <v>0</v>
      </c>
      <c r="N58" s="159">
        <f>Inputs!D38*G58</f>
        <v>0</v>
      </c>
      <c r="O58" s="98"/>
      <c r="P58" s="131"/>
      <c r="R58" s="169">
        <f>SUM(L58:P58)</f>
        <v>0</v>
      </c>
      <c r="S58" s="169">
        <f>R58*$U$78</f>
        <v>0</v>
      </c>
    </row>
    <row r="59" spans="4:19">
      <c r="D59" s="154" t="s">
        <v>187</v>
      </c>
      <c r="E59" s="103" t="s">
        <v>164</v>
      </c>
      <c r="F59" s="99" t="s">
        <v>164</v>
      </c>
      <c r="G59" s="103" t="s">
        <v>185</v>
      </c>
      <c r="H59" s="100"/>
      <c r="I59" s="131"/>
      <c r="K59" s="154" t="s">
        <v>187</v>
      </c>
      <c r="L59" s="103" t="s">
        <v>164</v>
      </c>
      <c r="M59" s="99" t="s">
        <v>164</v>
      </c>
      <c r="N59" s="103" t="s">
        <v>185</v>
      </c>
      <c r="O59" s="100"/>
      <c r="P59" s="131"/>
      <c r="R59" s="168"/>
      <c r="S59" s="168"/>
    </row>
    <row r="60" spans="4:19">
      <c r="D60" s="127"/>
      <c r="E60" s="104" t="s">
        <v>547</v>
      </c>
      <c r="F60" s="106" t="s">
        <v>548</v>
      </c>
      <c r="G60" s="104"/>
      <c r="H60" s="107"/>
      <c r="I60" s="131"/>
      <c r="K60" s="127"/>
      <c r="L60" s="104" t="s">
        <v>547</v>
      </c>
      <c r="M60" s="106" t="s">
        <v>548</v>
      </c>
      <c r="N60" s="104"/>
      <c r="O60" s="107"/>
      <c r="P60" s="131"/>
      <c r="R60" s="168"/>
      <c r="S60" s="168"/>
    </row>
    <row r="61" spans="4:19">
      <c r="D61" s="127"/>
      <c r="E61" s="105" t="s">
        <v>174</v>
      </c>
      <c r="F61" s="101" t="s">
        <v>174</v>
      </c>
      <c r="G61" s="105" t="s">
        <v>184</v>
      </c>
      <c r="H61" s="102"/>
      <c r="I61" s="131"/>
      <c r="K61" s="127"/>
      <c r="L61" s="105" t="s">
        <v>142</v>
      </c>
      <c r="M61" s="101" t="s">
        <v>142</v>
      </c>
      <c r="N61" s="105" t="s">
        <v>142</v>
      </c>
      <c r="O61" s="102"/>
      <c r="P61" s="131"/>
      <c r="R61" s="168"/>
      <c r="S61" s="168"/>
    </row>
    <row r="62" spans="4:19">
      <c r="D62" s="129" t="s">
        <v>543</v>
      </c>
      <c r="E62" s="135">
        <f>Data_b!B46*$C$26</f>
        <v>0.22729093678648743</v>
      </c>
      <c r="F62" s="135">
        <f>Data_b!C46*$C$26</f>
        <v>0.45458187357297486</v>
      </c>
      <c r="G62" s="273">
        <f>UCC!$B$21</f>
        <v>1.7297436021619313E-5</v>
      </c>
      <c r="H62" s="98"/>
      <c r="I62" s="131"/>
      <c r="K62" s="129" t="s">
        <v>543</v>
      </c>
      <c r="L62" s="159">
        <f>Inputs!B42*E62/2</f>
        <v>4328016.1402440518</v>
      </c>
      <c r="M62" s="159">
        <f>Inputs!C42*F62/2</f>
        <v>8892118.5064514279</v>
      </c>
      <c r="N62" s="159">
        <f>Inputs!D42*G62</f>
        <v>71829.976764958119</v>
      </c>
      <c r="O62" s="98"/>
      <c r="P62" s="131"/>
      <c r="R62" s="169">
        <f>SUM(L62:P62)</f>
        <v>13291964.623460438</v>
      </c>
      <c r="S62" s="169">
        <f>R62*$U$78</f>
        <v>15089061.733485356</v>
      </c>
    </row>
    <row r="63" spans="4:19">
      <c r="D63" s="154" t="s">
        <v>187</v>
      </c>
      <c r="E63" s="103" t="s">
        <v>164</v>
      </c>
      <c r="F63" s="99" t="s">
        <v>164</v>
      </c>
      <c r="G63" s="103" t="s">
        <v>185</v>
      </c>
      <c r="H63" s="100"/>
      <c r="I63" s="131"/>
      <c r="K63" s="154" t="s">
        <v>187</v>
      </c>
      <c r="L63" s="103" t="s">
        <v>164</v>
      </c>
      <c r="M63" s="99" t="s">
        <v>164</v>
      </c>
      <c r="N63" s="103" t="s">
        <v>185</v>
      </c>
      <c r="O63" s="100"/>
      <c r="P63" s="131"/>
      <c r="R63" s="168"/>
      <c r="S63" s="168"/>
    </row>
    <row r="64" spans="4:19">
      <c r="D64" s="127"/>
      <c r="E64" s="104" t="s">
        <v>545</v>
      </c>
      <c r="F64" s="106" t="s">
        <v>546</v>
      </c>
      <c r="G64" s="104"/>
      <c r="H64" s="107"/>
      <c r="I64" s="131"/>
      <c r="K64" s="127"/>
      <c r="L64" s="104" t="s">
        <v>545</v>
      </c>
      <c r="M64" s="106" t="s">
        <v>546</v>
      </c>
      <c r="N64" s="104"/>
      <c r="O64" s="107"/>
      <c r="P64" s="131"/>
      <c r="R64" s="168"/>
      <c r="S64" s="168"/>
    </row>
    <row r="65" spans="4:23">
      <c r="D65" s="127"/>
      <c r="E65" s="105" t="s">
        <v>174</v>
      </c>
      <c r="F65" s="101" t="s">
        <v>174</v>
      </c>
      <c r="G65" s="105" t="s">
        <v>184</v>
      </c>
      <c r="H65" s="102"/>
      <c r="I65" s="131"/>
      <c r="K65" s="127"/>
      <c r="L65" s="105" t="s">
        <v>142</v>
      </c>
      <c r="M65" s="101" t="s">
        <v>142</v>
      </c>
      <c r="N65" s="105" t="s">
        <v>142</v>
      </c>
      <c r="O65" s="102"/>
      <c r="P65" s="131"/>
      <c r="R65" s="168"/>
      <c r="S65" s="168"/>
    </row>
    <row r="66" spans="4:23">
      <c r="D66" s="129" t="s">
        <v>542</v>
      </c>
      <c r="E66" s="135">
        <f>$C$11</f>
        <v>0.15152729119099162</v>
      </c>
      <c r="F66" s="135">
        <f>C26*Data_b!B45</f>
        <v>0.22729093678648743</v>
      </c>
      <c r="G66" s="273">
        <f>UCC!$B$21</f>
        <v>1.7297436021619313E-5</v>
      </c>
      <c r="H66" s="98"/>
      <c r="I66" s="131"/>
      <c r="K66" s="129" t="s">
        <v>542</v>
      </c>
      <c r="L66" s="159">
        <f>Inputs!B46*E66</f>
        <v>9841132.8742578048</v>
      </c>
      <c r="M66" s="159">
        <f>Inputs!C46*F66/2</f>
        <v>0</v>
      </c>
      <c r="N66" s="159">
        <f>Inputs!D46*G66</f>
        <v>239218.97013889928</v>
      </c>
      <c r="O66" s="98"/>
      <c r="P66" s="131"/>
      <c r="R66" s="169">
        <f>SUM(L66:P66)</f>
        <v>10080351.844396705</v>
      </c>
      <c r="S66" s="169">
        <f>R66*$U$78</f>
        <v>11443233.230315072</v>
      </c>
    </row>
    <row r="67" spans="4:23">
      <c r="D67" s="154" t="s">
        <v>185</v>
      </c>
      <c r="E67" s="103"/>
      <c r="F67" s="99"/>
      <c r="G67" s="103" t="s">
        <v>185</v>
      </c>
      <c r="H67" s="100"/>
      <c r="I67" s="131"/>
      <c r="K67" s="154" t="s">
        <v>185</v>
      </c>
      <c r="L67" s="103"/>
      <c r="M67" s="99"/>
      <c r="N67" s="103" t="s">
        <v>185</v>
      </c>
      <c r="O67" s="100"/>
      <c r="P67" s="131"/>
      <c r="R67" s="168"/>
      <c r="S67" s="168"/>
    </row>
    <row r="68" spans="4:23">
      <c r="D68" s="127"/>
      <c r="E68" s="105"/>
      <c r="F68" s="101"/>
      <c r="G68" s="105" t="s">
        <v>184</v>
      </c>
      <c r="H68" s="102"/>
      <c r="I68" s="131"/>
      <c r="K68" s="127"/>
      <c r="L68" s="105"/>
      <c r="M68" s="101"/>
      <c r="N68" s="105" t="s">
        <v>142</v>
      </c>
      <c r="O68" s="102"/>
      <c r="P68" s="131"/>
      <c r="R68" s="168"/>
      <c r="S68" s="168"/>
    </row>
    <row r="69" spans="4:23" ht="15" thickBot="1">
      <c r="D69" s="132" t="s">
        <v>544</v>
      </c>
      <c r="E69" s="133"/>
      <c r="F69" s="133"/>
      <c r="G69" s="133"/>
      <c r="H69" s="133"/>
      <c r="I69" s="134"/>
      <c r="K69" s="132" t="s">
        <v>544</v>
      </c>
      <c r="L69" s="133"/>
      <c r="M69" s="133"/>
      <c r="N69" s="164">
        <f>Inputs!D49*G69</f>
        <v>0</v>
      </c>
      <c r="O69" s="133"/>
      <c r="P69" s="134"/>
      <c r="R69" s="166">
        <f>SUM(L69:P69)</f>
        <v>0</v>
      </c>
      <c r="S69" s="166">
        <f>R69*$U$78</f>
        <v>0</v>
      </c>
    </row>
    <row r="70" spans="4:23" ht="15" thickBot="1">
      <c r="R70" s="170">
        <f>SUM(R30:R69)</f>
        <v>64247671.062901489</v>
      </c>
      <c r="S70" s="170">
        <f>SUM(S30:S69)</f>
        <v>92840000</v>
      </c>
    </row>
    <row r="71" spans="4:23" ht="15" thickBot="1">
      <c r="T71" s="184" t="s">
        <v>195</v>
      </c>
      <c r="U71" s="185"/>
    </row>
    <row r="72" spans="4:23">
      <c r="T72" s="113" t="s">
        <v>196</v>
      </c>
      <c r="U72" s="186"/>
      <c r="V72" s="115"/>
    </row>
    <row r="73" spans="4:23" ht="15" thickBot="1">
      <c r="T73" s="187"/>
      <c r="U73" s="197" t="s">
        <v>202</v>
      </c>
      <c r="V73" s="198" t="s">
        <v>203</v>
      </c>
    </row>
    <row r="74" spans="4:23">
      <c r="T74" s="172" t="s">
        <v>2</v>
      </c>
      <c r="U74" s="189">
        <f>SUM(R32:R46)/R70</f>
        <v>0.23624171536763311</v>
      </c>
      <c r="V74" s="192">
        <f>Data_a!C4</f>
        <v>0.4</v>
      </c>
    </row>
    <row r="75" spans="4:23" ht="15" thickBot="1">
      <c r="T75" s="132" t="s">
        <v>3</v>
      </c>
      <c r="U75" s="191">
        <f>SUM(R52:R69)/R70</f>
        <v>0.76375828463236706</v>
      </c>
      <c r="V75" s="193">
        <f>1-V74</f>
        <v>0.6</v>
      </c>
    </row>
    <row r="76" spans="4:23" ht="15" thickBot="1">
      <c r="T76" s="187" t="s">
        <v>197</v>
      </c>
      <c r="U76" s="190"/>
    </row>
    <row r="77" spans="4:23">
      <c r="T77" s="172" t="s">
        <v>2</v>
      </c>
      <c r="U77" s="174">
        <f>(V74*Inputs!C5)/(U74*R70)</f>
        <v>2.4467023905942948</v>
      </c>
    </row>
    <row r="78" spans="4:23" ht="15" thickBot="1">
      <c r="T78" s="173" t="s">
        <v>3</v>
      </c>
      <c r="U78" s="179">
        <f>(V75*Inputs!C5)/(U75*R70)</f>
        <v>1.1352017674537762</v>
      </c>
    </row>
    <row r="79" spans="4:23">
      <c r="T79" s="113" t="s">
        <v>198</v>
      </c>
      <c r="U79" s="186"/>
      <c r="V79" s="114"/>
      <c r="W79" s="209" t="s">
        <v>174</v>
      </c>
    </row>
    <row r="80" spans="4:23" ht="15" thickBot="1">
      <c r="T80" s="187"/>
      <c r="U80" s="188"/>
      <c r="V80" s="195" t="s">
        <v>199</v>
      </c>
      <c r="W80" s="196" t="s">
        <v>200</v>
      </c>
    </row>
    <row r="81" spans="20:23">
      <c r="T81" s="211" t="s">
        <v>162</v>
      </c>
      <c r="U81" s="180" t="s">
        <v>107</v>
      </c>
      <c r="V81" s="180">
        <f>$U$77</f>
        <v>2.4467023905942948</v>
      </c>
      <c r="W81" s="194">
        <f t="shared" ref="W81:W87" si="11">V81*C20</f>
        <v>0.18499776619667357</v>
      </c>
    </row>
    <row r="82" spans="20:23">
      <c r="T82" s="97"/>
      <c r="U82" s="176" t="s">
        <v>172</v>
      </c>
      <c r="V82" s="180">
        <f t="shared" ref="V82:V83" si="12">$U$77</f>
        <v>2.4467023905942948</v>
      </c>
      <c r="W82" s="182">
        <f t="shared" si="11"/>
        <v>0.17219025649065856</v>
      </c>
    </row>
    <row r="83" spans="20:23" ht="15" thickBot="1">
      <c r="T83" s="97"/>
      <c r="U83" s="176" t="s">
        <v>436</v>
      </c>
      <c r="V83" s="181">
        <f t="shared" si="12"/>
        <v>2.4467023905942948</v>
      </c>
      <c r="W83" s="175">
        <f>V83*C22</f>
        <v>4.5722179057658616E-3</v>
      </c>
    </row>
    <row r="84" spans="20:23">
      <c r="T84" s="97" t="s">
        <v>163</v>
      </c>
      <c r="U84" s="180" t="s">
        <v>107</v>
      </c>
      <c r="V84" s="177">
        <f>$U$78</f>
        <v>1.1352017674537762</v>
      </c>
      <c r="W84" s="357">
        <f t="shared" si="11"/>
        <v>0</v>
      </c>
    </row>
    <row r="85" spans="20:23">
      <c r="T85" s="97"/>
      <c r="U85" s="176" t="s">
        <v>172</v>
      </c>
      <c r="V85" s="176">
        <f t="shared" ref="V85:V87" si="13">$U$78</f>
        <v>1.1352017674537762</v>
      </c>
      <c r="W85" s="182">
        <f t="shared" si="11"/>
        <v>0</v>
      </c>
    </row>
    <row r="86" spans="20:23">
      <c r="T86" s="97"/>
      <c r="U86" s="176" t="s">
        <v>436</v>
      </c>
      <c r="V86" s="176">
        <f t="shared" si="13"/>
        <v>1.1352017674537762</v>
      </c>
      <c r="W86" s="182">
        <f t="shared" si="11"/>
        <v>0</v>
      </c>
    </row>
    <row r="87" spans="20:23" ht="15" thickBot="1">
      <c r="T87" s="97"/>
      <c r="U87" s="176" t="s">
        <v>437</v>
      </c>
      <c r="V87" s="178">
        <f t="shared" si="13"/>
        <v>1.1352017674537762</v>
      </c>
      <c r="W87" s="175">
        <f t="shared" si="11"/>
        <v>0.17201404877749671</v>
      </c>
    </row>
    <row r="89" spans="20:23">
      <c r="W89" s="199"/>
    </row>
  </sheetData>
  <pageMargins left="0.7" right="0.7" top="0.75" bottom="0.75" header="0.3" footer="0.3"/>
  <pageSetup paperSize="9" orientation="portrait" r:id="rId1"/>
  <ignoredErrors>
    <ignoredError sqref="C21 C2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10"/>
  <sheetViews>
    <sheetView workbookViewId="0">
      <selection activeCell="A3" sqref="A3"/>
    </sheetView>
  </sheetViews>
  <sheetFormatPr defaultRowHeight="14.4"/>
  <cols>
    <col min="1" max="1" width="17.44140625" bestFit="1" customWidth="1"/>
    <col min="2" max="2" width="12.21875" bestFit="1" customWidth="1"/>
    <col min="3" max="3" width="24.6640625" customWidth="1"/>
    <col min="4" max="4" width="16.21875" customWidth="1"/>
  </cols>
  <sheetData>
    <row r="1" spans="1:4" ht="15" thickBot="1"/>
    <row r="2" spans="1:4" ht="15" thickBot="1">
      <c r="A2" s="90" t="s">
        <v>251</v>
      </c>
      <c r="B2" s="144"/>
      <c r="C2" s="144"/>
      <c r="D2" s="145"/>
    </row>
    <row r="3" spans="1:4" ht="15" thickBot="1">
      <c r="A3" s="213" t="s">
        <v>112</v>
      </c>
      <c r="B3" s="214"/>
      <c r="C3" s="215" t="s">
        <v>438</v>
      </c>
      <c r="D3" s="216" t="s">
        <v>252</v>
      </c>
    </row>
    <row r="4" spans="1:4">
      <c r="A4" s="211" t="s">
        <v>162</v>
      </c>
      <c r="B4" s="180" t="s">
        <v>107</v>
      </c>
      <c r="C4" s="212">
        <f>Reconcile_RPM!W81</f>
        <v>0.18499776619667357</v>
      </c>
      <c r="D4" s="212">
        <f>Reconcile_CWD!W81</f>
        <v>0.2288976688050621</v>
      </c>
    </row>
    <row r="5" spans="1:4">
      <c r="A5" s="97"/>
      <c r="B5" s="176" t="s">
        <v>172</v>
      </c>
      <c r="C5" s="210">
        <f>Reconcile_RPM!W82</f>
        <v>0.17219025649065856</v>
      </c>
      <c r="D5" s="212">
        <f>Reconcile_CWD!W82</f>
        <v>0.21871040555528265</v>
      </c>
    </row>
    <row r="6" spans="1:4">
      <c r="A6" s="97"/>
      <c r="B6" s="176" t="s">
        <v>436</v>
      </c>
      <c r="C6" s="210">
        <f>Reconcile_RPM!W83</f>
        <v>4.5722179057658616E-3</v>
      </c>
      <c r="D6" s="212">
        <f>Reconcile_CWD!W83</f>
        <v>5.933944072189664E-3</v>
      </c>
    </row>
    <row r="7" spans="1:4">
      <c r="A7" s="97" t="s">
        <v>163</v>
      </c>
      <c r="B7" s="180" t="s">
        <v>107</v>
      </c>
      <c r="C7" s="210">
        <f>Reconcile_RPM!W84</f>
        <v>0</v>
      </c>
      <c r="D7" s="212">
        <f>Reconcile_CWD!W84</f>
        <v>0.22122757202239504</v>
      </c>
    </row>
    <row r="8" spans="1:4">
      <c r="A8" s="97"/>
      <c r="B8" s="176" t="s">
        <v>172</v>
      </c>
      <c r="C8" s="210">
        <f>Reconcile_RPM!W85</f>
        <v>0</v>
      </c>
      <c r="D8" s="212">
        <f>Reconcile_CWD!W85</f>
        <v>0</v>
      </c>
    </row>
    <row r="9" spans="1:4">
      <c r="A9" s="97"/>
      <c r="B9" s="176" t="s">
        <v>436</v>
      </c>
      <c r="C9" s="210">
        <f>Reconcile_RPM!W86</f>
        <v>0</v>
      </c>
      <c r="D9" s="212">
        <f>Reconcile_CWD!W86</f>
        <v>6.2538905428542466E-3</v>
      </c>
    </row>
    <row r="10" spans="1:4">
      <c r="A10" s="97"/>
      <c r="B10" s="176" t="s">
        <v>437</v>
      </c>
      <c r="C10" s="210">
        <f>Reconcile_RPM!W87</f>
        <v>0.17201404877749671</v>
      </c>
      <c r="D10" s="212">
        <f>Reconcile_CWD!W87</f>
        <v>0.14202543607090309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J71"/>
  <sheetViews>
    <sheetView showGridLines="0" zoomScale="80" zoomScaleNormal="80" workbookViewId="0">
      <selection activeCell="R41" sqref="R41:R58"/>
    </sheetView>
  </sheetViews>
  <sheetFormatPr defaultRowHeight="14.4"/>
  <cols>
    <col min="1" max="1" width="29.77734375" customWidth="1"/>
    <col min="2" max="2" width="27.77734375" bestFit="1" customWidth="1"/>
    <col min="3" max="3" width="21.5546875" bestFit="1" customWidth="1"/>
    <col min="4" max="4" width="28.33203125" bestFit="1" customWidth="1"/>
    <col min="5" max="9" width="19.44140625" customWidth="1"/>
    <col min="10" max="10" width="3.88671875" customWidth="1"/>
    <col min="11" max="11" width="32.33203125" bestFit="1" customWidth="1"/>
    <col min="12" max="16" width="19.44140625" customWidth="1"/>
    <col min="17" max="17" width="3.88671875" customWidth="1"/>
    <col min="18" max="18" width="32.33203125" bestFit="1" customWidth="1"/>
    <col min="19" max="23" width="19.44140625" customWidth="1"/>
    <col min="24" max="24" width="4.44140625" customWidth="1"/>
    <col min="25" max="25" width="29" customWidth="1"/>
    <col min="26" max="26" width="22.5546875" customWidth="1"/>
    <col min="27" max="27" width="37.6640625" customWidth="1"/>
    <col min="28" max="28" width="14" customWidth="1"/>
    <col min="29" max="29" width="20.21875" customWidth="1"/>
    <col min="30" max="30" width="19.6640625" customWidth="1"/>
    <col min="31" max="31" width="29" bestFit="1" customWidth="1"/>
    <col min="32" max="32" width="22.5546875" customWidth="1"/>
    <col min="33" max="33" width="39.5546875" bestFit="1" customWidth="1"/>
    <col min="34" max="34" width="13.77734375" bestFit="1" customWidth="1"/>
    <col min="35" max="36" width="20" customWidth="1"/>
  </cols>
  <sheetData>
    <row r="1" spans="1:32">
      <c r="A1" s="2" t="s">
        <v>419</v>
      </c>
    </row>
    <row r="2" spans="1:32">
      <c r="A2" s="22" t="s">
        <v>431</v>
      </c>
    </row>
    <row r="3" spans="1:32" ht="15" thickBot="1">
      <c r="A3" s="2"/>
    </row>
    <row r="4" spans="1:32">
      <c r="A4" s="113" t="s">
        <v>114</v>
      </c>
      <c r="B4" s="114"/>
      <c r="C4" s="115"/>
    </row>
    <row r="5" spans="1:32" ht="15" thickBot="1">
      <c r="A5" s="120"/>
      <c r="B5" s="80"/>
      <c r="C5" s="587" t="s">
        <v>174</v>
      </c>
    </row>
    <row r="6" spans="1:32">
      <c r="A6" s="81" t="s">
        <v>2</v>
      </c>
      <c r="B6" s="66" t="s">
        <v>107</v>
      </c>
      <c r="C6" s="116">
        <f>Reconcile_RPM!W81</f>
        <v>0.18499776619667357</v>
      </c>
      <c r="K6" s="590" t="s">
        <v>435</v>
      </c>
      <c r="L6" s="591"/>
      <c r="M6" s="591"/>
      <c r="N6" s="592"/>
    </row>
    <row r="7" spans="1:32">
      <c r="A7" s="81"/>
      <c r="B7" s="66" t="s">
        <v>172</v>
      </c>
      <c r="C7" s="116">
        <f>Reconcile_RPM!W82</f>
        <v>0.17219025649065856</v>
      </c>
      <c r="K7" s="203" t="s">
        <v>2</v>
      </c>
      <c r="L7" s="5" t="s">
        <v>107</v>
      </c>
      <c r="M7" s="20">
        <v>0</v>
      </c>
      <c r="N7" s="594" t="s">
        <v>137</v>
      </c>
    </row>
    <row r="8" spans="1:32">
      <c r="A8" s="118"/>
      <c r="B8" s="67" t="s">
        <v>173</v>
      </c>
      <c r="C8" s="119">
        <f>Reconcile_RPM!W83</f>
        <v>4.5722179057658616E-3</v>
      </c>
      <c r="K8" s="203" t="s">
        <v>2</v>
      </c>
      <c r="L8" s="5" t="s">
        <v>172</v>
      </c>
      <c r="M8" s="20">
        <f>M10</f>
        <v>8240.5479452054788</v>
      </c>
      <c r="N8" s="594" t="s">
        <v>137</v>
      </c>
    </row>
    <row r="9" spans="1:32">
      <c r="A9" s="81" t="s">
        <v>3</v>
      </c>
      <c r="B9" s="66" t="s">
        <v>107</v>
      </c>
      <c r="C9" s="116">
        <f>Reconcile_RPM!W84</f>
        <v>0</v>
      </c>
      <c r="K9" s="203" t="s">
        <v>2</v>
      </c>
      <c r="L9" s="5" t="s">
        <v>173</v>
      </c>
      <c r="M9" s="20">
        <v>0</v>
      </c>
      <c r="N9" s="594" t="s">
        <v>137</v>
      </c>
    </row>
    <row r="10" spans="1:32" ht="15" thickBot="1">
      <c r="A10" s="81"/>
      <c r="B10" s="66" t="s">
        <v>172</v>
      </c>
      <c r="C10" s="116">
        <f>Reconcile_RPM!W85</f>
        <v>0</v>
      </c>
      <c r="K10" s="205" t="s">
        <v>3</v>
      </c>
      <c r="L10" s="295" t="s">
        <v>107</v>
      </c>
      <c r="M10" s="593">
        <f>Data_b!C124/365</f>
        <v>8240.5479452054788</v>
      </c>
      <c r="N10" s="595" t="s">
        <v>137</v>
      </c>
    </row>
    <row r="11" spans="1:32" ht="15" thickBot="1">
      <c r="A11" s="81"/>
      <c r="B11" s="66" t="s">
        <v>173</v>
      </c>
      <c r="C11" s="116">
        <f>Reconcile_RPM!W86</f>
        <v>0</v>
      </c>
      <c r="K11" s="488" t="s">
        <v>421</v>
      </c>
      <c r="L11" s="259"/>
      <c r="M11" s="554">
        <f>M8*H22+M10*H28</f>
        <v>2837.8841286170014</v>
      </c>
      <c r="N11" s="596" t="s">
        <v>422</v>
      </c>
    </row>
    <row r="12" spans="1:32" ht="15" thickBot="1">
      <c r="A12" s="82"/>
      <c r="B12" s="83" t="s">
        <v>181</v>
      </c>
      <c r="C12" s="117">
        <f>Reconcile_RPM!W87</f>
        <v>0.17201404877749671</v>
      </c>
    </row>
    <row r="13" spans="1:32" ht="15" thickBot="1">
      <c r="A13" s="584"/>
      <c r="B13" s="585"/>
      <c r="C13" s="586" t="s">
        <v>184</v>
      </c>
    </row>
    <row r="14" spans="1:32" ht="15" thickBot="1">
      <c r="A14" s="582" t="s">
        <v>3</v>
      </c>
      <c r="B14" s="583" t="s">
        <v>248</v>
      </c>
      <c r="C14" s="588">
        <f>UCC!B21*Reconcile_RPM!U78</f>
        <v>1.9636079944160859E-5</v>
      </c>
    </row>
    <row r="15" spans="1:32" ht="15" thickBot="1">
      <c r="A15" s="66"/>
      <c r="B15" s="66"/>
      <c r="C15" s="581"/>
    </row>
    <row r="16" spans="1:32" ht="15" thickBot="1">
      <c r="D16" s="90" t="s">
        <v>432</v>
      </c>
      <c r="E16" s="144"/>
      <c r="F16" s="144"/>
      <c r="G16" s="144"/>
      <c r="H16" s="144"/>
      <c r="I16" s="144"/>
      <c r="J16" s="144"/>
      <c r="K16" s="158"/>
      <c r="L16" s="144"/>
      <c r="M16" s="144"/>
      <c r="N16" s="144"/>
      <c r="O16" s="144"/>
      <c r="P16" s="144"/>
      <c r="Q16" s="144"/>
      <c r="R16" s="158"/>
      <c r="S16" s="144"/>
      <c r="T16" s="144"/>
      <c r="U16" s="144"/>
      <c r="V16" s="144"/>
      <c r="W16" s="145"/>
      <c r="X16" s="66"/>
      <c r="Y16" s="90" t="s">
        <v>423</v>
      </c>
      <c r="Z16" s="144"/>
      <c r="AA16" s="144"/>
      <c r="AB16" s="144"/>
      <c r="AC16" s="144"/>
      <c r="AD16" s="144"/>
      <c r="AE16" s="158" t="s">
        <v>424</v>
      </c>
      <c r="AF16" s="145"/>
    </row>
    <row r="17" spans="1:32" s="70" customFormat="1" ht="15" thickBot="1">
      <c r="A17" s="112"/>
      <c r="D17" s="137" t="s">
        <v>183</v>
      </c>
      <c r="E17" s="138"/>
      <c r="F17" s="138"/>
      <c r="G17" s="138"/>
      <c r="H17" s="138"/>
      <c r="I17" s="139"/>
      <c r="K17" s="137" t="s">
        <v>189</v>
      </c>
      <c r="L17" s="138"/>
      <c r="M17" s="138"/>
      <c r="N17" s="138"/>
      <c r="O17" s="138"/>
      <c r="P17" s="139"/>
      <c r="R17" s="137" t="s">
        <v>188</v>
      </c>
      <c r="S17" s="138"/>
      <c r="T17" s="138"/>
      <c r="U17" s="138"/>
      <c r="V17" s="138"/>
      <c r="W17" s="139"/>
      <c r="Y17" s="171" t="s">
        <v>188</v>
      </c>
      <c r="Z17" s="171" t="s">
        <v>420</v>
      </c>
      <c r="AE17" s="171" t="s">
        <v>188</v>
      </c>
      <c r="AF17" s="171" t="s">
        <v>420</v>
      </c>
    </row>
    <row r="18" spans="1:32" s="70" customFormat="1" ht="15" thickBot="1">
      <c r="A18" s="112"/>
      <c r="D18" s="94" t="s">
        <v>162</v>
      </c>
      <c r="E18" s="142"/>
      <c r="F18" s="142"/>
      <c r="G18" s="142"/>
      <c r="H18" s="142"/>
      <c r="I18" s="143"/>
      <c r="K18" s="94" t="s">
        <v>162</v>
      </c>
      <c r="L18" s="482"/>
      <c r="M18" s="482"/>
      <c r="N18" s="482"/>
      <c r="O18" s="482"/>
      <c r="P18" s="483"/>
      <c r="R18" s="94" t="s">
        <v>162</v>
      </c>
      <c r="S18" s="482"/>
      <c r="T18" s="482"/>
      <c r="U18" s="482"/>
      <c r="V18" s="482"/>
      <c r="W18" s="483"/>
      <c r="Y18" s="165" t="s">
        <v>162</v>
      </c>
      <c r="Z18" s="165" t="s">
        <v>162</v>
      </c>
      <c r="AE18" s="165" t="s">
        <v>162</v>
      </c>
      <c r="AF18" s="165" t="s">
        <v>162</v>
      </c>
    </row>
    <row r="19" spans="1:32">
      <c r="D19" s="160"/>
      <c r="E19" s="161" t="s">
        <v>190</v>
      </c>
      <c r="F19" s="161" t="s">
        <v>192</v>
      </c>
      <c r="G19" s="161" t="s">
        <v>191</v>
      </c>
      <c r="H19" s="161" t="s">
        <v>193</v>
      </c>
      <c r="I19" s="162" t="s">
        <v>194</v>
      </c>
      <c r="K19" s="160"/>
      <c r="L19" s="161" t="s">
        <v>190</v>
      </c>
      <c r="M19" s="161" t="s">
        <v>192</v>
      </c>
      <c r="N19" s="161" t="s">
        <v>191</v>
      </c>
      <c r="O19" s="161" t="s">
        <v>193</v>
      </c>
      <c r="P19" s="162" t="s">
        <v>194</v>
      </c>
      <c r="R19" s="160"/>
      <c r="S19" s="161" t="s">
        <v>190</v>
      </c>
      <c r="T19" s="161" t="s">
        <v>192</v>
      </c>
      <c r="U19" s="161" t="s">
        <v>191</v>
      </c>
      <c r="V19" s="161" t="s">
        <v>193</v>
      </c>
      <c r="W19" s="162" t="s">
        <v>194</v>
      </c>
      <c r="Y19" s="167"/>
      <c r="Z19" s="167"/>
      <c r="AE19" s="167"/>
      <c r="AF19" s="167"/>
    </row>
    <row r="20" spans="1:32">
      <c r="D20" s="127"/>
      <c r="E20" s="96" t="s">
        <v>174</v>
      </c>
      <c r="F20" s="96" t="s">
        <v>174</v>
      </c>
      <c r="G20" s="96" t="s">
        <v>174</v>
      </c>
      <c r="H20" s="96" t="s">
        <v>174</v>
      </c>
      <c r="I20" s="128" t="s">
        <v>174</v>
      </c>
      <c r="K20" s="127"/>
      <c r="L20" s="96" t="s">
        <v>137</v>
      </c>
      <c r="M20" s="96" t="s">
        <v>137</v>
      </c>
      <c r="N20" s="96" t="s">
        <v>137</v>
      </c>
      <c r="O20" s="96" t="s">
        <v>137</v>
      </c>
      <c r="P20" s="128" t="s">
        <v>159</v>
      </c>
      <c r="R20" s="127"/>
      <c r="S20" s="96" t="s">
        <v>142</v>
      </c>
      <c r="T20" s="96" t="s">
        <v>142</v>
      </c>
      <c r="U20" s="96" t="s">
        <v>142</v>
      </c>
      <c r="V20" s="96" t="s">
        <v>142</v>
      </c>
      <c r="W20" s="128" t="s">
        <v>142</v>
      </c>
      <c r="Y20" s="168"/>
      <c r="Z20" s="168"/>
      <c r="AE20" s="168"/>
      <c r="AF20" s="168"/>
    </row>
    <row r="21" spans="1:32">
      <c r="D21" s="129" t="s">
        <v>107</v>
      </c>
      <c r="E21" s="135">
        <f>$C6*Data_b!B39</f>
        <v>0.18499776619667357</v>
      </c>
      <c r="F21" s="135">
        <f>$C6*Data_b!C39</f>
        <v>0.24049709605567565</v>
      </c>
      <c r="G21" s="135">
        <f>$C6*Data_b!D39</f>
        <v>0.27749664929501039</v>
      </c>
      <c r="H21" s="135">
        <f>$C6*Data_b!E39</f>
        <v>0.36999553239334715</v>
      </c>
      <c r="I21" s="136">
        <f>$C6*Data_b!F39</f>
        <v>0.40699508563268189</v>
      </c>
      <c r="K21" s="129" t="s">
        <v>107</v>
      </c>
      <c r="L21" s="159">
        <f>Inputs!B12</f>
        <v>101055477.62499939</v>
      </c>
      <c r="M21" s="159">
        <f>Inputs!C12</f>
        <v>3781413.2963089836</v>
      </c>
      <c r="N21" s="159">
        <f>Inputs!D12</f>
        <v>3196185.2494030823</v>
      </c>
      <c r="O21" s="589">
        <f>Inputs!E12+M7</f>
        <v>6249731.2053220551</v>
      </c>
      <c r="P21" s="163">
        <f>Inputs!F12</f>
        <v>0</v>
      </c>
      <c r="R21" s="129" t="s">
        <v>107</v>
      </c>
      <c r="S21" s="159">
        <f>E21*L21</f>
        <v>18695037.622562815</v>
      </c>
      <c r="T21" s="159">
        <f t="shared" ref="T21:T22" si="0">F21*M21</f>
        <v>909418.9167486307</v>
      </c>
      <c r="U21" s="159">
        <f t="shared" ref="U21:U22" si="1">G21*N21</f>
        <v>886930.69723549241</v>
      </c>
      <c r="V21" s="159">
        <f t="shared" ref="V21:V23" si="2">H21*O21</f>
        <v>2312372.6246284489</v>
      </c>
      <c r="W21" s="163">
        <f t="shared" ref="W21:W23" si="3">I21*P21</f>
        <v>0</v>
      </c>
      <c r="Y21" s="169">
        <f>SUM(S21:W21)</f>
        <v>22803759.861175388</v>
      </c>
      <c r="Z21" s="169">
        <f>SUM(L21:P21)</f>
        <v>114282807.37603351</v>
      </c>
      <c r="AE21" s="168"/>
      <c r="AF21" s="168"/>
    </row>
    <row r="22" spans="1:32">
      <c r="D22" s="129" t="s">
        <v>172</v>
      </c>
      <c r="E22" s="135">
        <f>$C7*Data_b!B40</f>
        <v>0.17219025649065856</v>
      </c>
      <c r="F22" s="135">
        <f>$C7*Data_b!C40</f>
        <v>0.22384733343785612</v>
      </c>
      <c r="G22" s="135">
        <f>$C7*Data_b!D40</f>
        <v>0.25828538473598783</v>
      </c>
      <c r="H22" s="135">
        <f>$C7*Data_b!E40</f>
        <v>0.34438051298131711</v>
      </c>
      <c r="I22" s="136">
        <f>$C7*Data_b!F40</f>
        <v>0.37881856427944888</v>
      </c>
      <c r="K22" s="129" t="s">
        <v>172</v>
      </c>
      <c r="L22" s="159">
        <f>Inputs!B13</f>
        <v>57913063.754080206</v>
      </c>
      <c r="M22" s="159">
        <f>Inputs!C13</f>
        <v>30470.538090372243</v>
      </c>
      <c r="N22" s="159">
        <f>Inputs!D13</f>
        <v>5257079.8793693287</v>
      </c>
      <c r="O22" s="589">
        <f>Inputs!E13+M8</f>
        <v>8646101.1488784663</v>
      </c>
      <c r="P22" s="163">
        <f>Inputs!F13</f>
        <v>0</v>
      </c>
      <c r="R22" s="129" t="s">
        <v>172</v>
      </c>
      <c r="S22" s="159">
        <f t="shared" ref="S22" si="4">E22*L22</f>
        <v>9972065.3019749317</v>
      </c>
      <c r="T22" s="159">
        <f t="shared" si="0"/>
        <v>6820.7486999464509</v>
      </c>
      <c r="U22" s="159">
        <f t="shared" si="1"/>
        <v>1357826.8992307277</v>
      </c>
      <c r="V22" s="159">
        <f t="shared" si="2"/>
        <v>2977548.7489391216</v>
      </c>
      <c r="W22" s="163">
        <f t="shared" si="3"/>
        <v>0</v>
      </c>
      <c r="Y22" s="169">
        <f t="shared" ref="Y22:Y23" si="5">SUM(S22:W22)</f>
        <v>14314261.698844727</v>
      </c>
      <c r="Z22" s="169">
        <f t="shared" ref="Z22:Z23" si="6">SUM(L22:P22)</f>
        <v>71846715.320418373</v>
      </c>
      <c r="AE22" s="168"/>
      <c r="AF22" s="168"/>
    </row>
    <row r="23" spans="1:32">
      <c r="D23" s="129" t="s">
        <v>173</v>
      </c>
      <c r="E23" s="98"/>
      <c r="F23" s="98"/>
      <c r="G23" s="98"/>
      <c r="H23" s="135">
        <f>$C8*Data_b!E41</f>
        <v>4.5722179057658616E-3</v>
      </c>
      <c r="I23" s="136">
        <f>$C8*Data_b!F41</f>
        <v>5.0294396963424482E-3</v>
      </c>
      <c r="K23" s="129" t="s">
        <v>173</v>
      </c>
      <c r="L23" s="98"/>
      <c r="M23" s="98"/>
      <c r="N23" s="98"/>
      <c r="O23" s="589">
        <f>Inputs!E14+M9</f>
        <v>4552784.7835616451</v>
      </c>
      <c r="P23" s="163">
        <f>Inputs!F14</f>
        <v>0</v>
      </c>
      <c r="R23" s="129" t="s">
        <v>173</v>
      </c>
      <c r="S23" s="98"/>
      <c r="T23" s="98"/>
      <c r="U23" s="98"/>
      <c r="V23" s="159">
        <f t="shared" si="2"/>
        <v>20816.324108498906</v>
      </c>
      <c r="W23" s="163">
        <f t="shared" si="3"/>
        <v>0</v>
      </c>
      <c r="Y23" s="169">
        <f t="shared" si="5"/>
        <v>20816.324108498906</v>
      </c>
      <c r="Z23" s="169">
        <f t="shared" si="6"/>
        <v>4552784.7835616451</v>
      </c>
      <c r="AE23" s="168"/>
      <c r="AF23" s="168"/>
    </row>
    <row r="24" spans="1:32" ht="15" thickBot="1">
      <c r="D24" s="149"/>
      <c r="E24" s="150"/>
      <c r="F24" s="150"/>
      <c r="G24" s="150"/>
      <c r="H24" s="150"/>
      <c r="I24" s="134"/>
      <c r="K24" s="149"/>
      <c r="L24" s="150"/>
      <c r="M24" s="150"/>
      <c r="N24" s="150"/>
      <c r="O24" s="150"/>
      <c r="P24" s="134"/>
      <c r="R24" s="149"/>
      <c r="S24" s="150"/>
      <c r="T24" s="150"/>
      <c r="U24" s="150"/>
      <c r="V24" s="150"/>
      <c r="W24" s="134"/>
      <c r="Y24" s="168"/>
      <c r="Z24" s="168"/>
      <c r="AE24" s="168"/>
      <c r="AF24" s="168"/>
    </row>
    <row r="25" spans="1:32" ht="15" thickBot="1">
      <c r="D25" s="94" t="s">
        <v>163</v>
      </c>
      <c r="E25" s="142"/>
      <c r="F25" s="142"/>
      <c r="G25" s="142"/>
      <c r="H25" s="142"/>
      <c r="I25" s="143"/>
      <c r="K25" s="94" t="s">
        <v>163</v>
      </c>
      <c r="L25" s="142"/>
      <c r="M25" s="142"/>
      <c r="N25" s="142"/>
      <c r="O25" s="142"/>
      <c r="P25" s="143"/>
      <c r="R25" s="94" t="s">
        <v>163</v>
      </c>
      <c r="S25" s="142"/>
      <c r="T25" s="142"/>
      <c r="U25" s="142"/>
      <c r="V25" s="142"/>
      <c r="W25" s="143"/>
      <c r="Y25" s="165" t="s">
        <v>163</v>
      </c>
      <c r="Z25" s="165" t="s">
        <v>163</v>
      </c>
      <c r="AE25" s="165" t="s">
        <v>163</v>
      </c>
      <c r="AF25" s="165" t="s">
        <v>163</v>
      </c>
    </row>
    <row r="26" spans="1:32">
      <c r="D26" s="183" t="s">
        <v>164</v>
      </c>
      <c r="E26" s="161" t="s">
        <v>190</v>
      </c>
      <c r="F26" s="161" t="s">
        <v>192</v>
      </c>
      <c r="G26" s="161" t="s">
        <v>191</v>
      </c>
      <c r="H26" s="161" t="s">
        <v>193</v>
      </c>
      <c r="I26" s="162" t="s">
        <v>194</v>
      </c>
      <c r="K26" s="151" t="s">
        <v>164</v>
      </c>
      <c r="L26" s="140" t="s">
        <v>190</v>
      </c>
      <c r="M26" s="140" t="s">
        <v>192</v>
      </c>
      <c r="N26" s="140" t="s">
        <v>191</v>
      </c>
      <c r="O26" s="140" t="s">
        <v>193</v>
      </c>
      <c r="P26" s="141" t="s">
        <v>194</v>
      </c>
      <c r="R26" s="183" t="s">
        <v>164</v>
      </c>
      <c r="S26" s="161" t="s">
        <v>190</v>
      </c>
      <c r="T26" s="161" t="s">
        <v>192</v>
      </c>
      <c r="U26" s="161" t="s">
        <v>191</v>
      </c>
      <c r="V26" s="161" t="s">
        <v>193</v>
      </c>
      <c r="W26" s="162" t="s">
        <v>194</v>
      </c>
      <c r="Y26" s="168"/>
      <c r="Z26" s="168"/>
      <c r="AE26" s="168"/>
      <c r="AF26" s="168"/>
    </row>
    <row r="27" spans="1:32">
      <c r="D27" s="148"/>
      <c r="E27" s="96" t="s">
        <v>174</v>
      </c>
      <c r="F27" s="96" t="s">
        <v>174</v>
      </c>
      <c r="G27" s="96" t="s">
        <v>174</v>
      </c>
      <c r="H27" s="96" t="s">
        <v>174</v>
      </c>
      <c r="I27" s="128" t="s">
        <v>174</v>
      </c>
      <c r="K27" s="148"/>
      <c r="L27" s="96" t="s">
        <v>137</v>
      </c>
      <c r="M27" s="96" t="s">
        <v>137</v>
      </c>
      <c r="N27" s="96" t="s">
        <v>137</v>
      </c>
      <c r="O27" s="96" t="s">
        <v>137</v>
      </c>
      <c r="P27" s="128" t="s">
        <v>159</v>
      </c>
      <c r="R27" s="148"/>
      <c r="S27" s="96" t="s">
        <v>142</v>
      </c>
      <c r="T27" s="96" t="s">
        <v>142</v>
      </c>
      <c r="U27" s="96" t="s">
        <v>142</v>
      </c>
      <c r="V27" s="96" t="s">
        <v>142</v>
      </c>
      <c r="W27" s="128" t="s">
        <v>142</v>
      </c>
      <c r="Y27" s="168"/>
      <c r="Z27" s="168"/>
      <c r="AE27" s="168"/>
      <c r="AF27" s="168"/>
    </row>
    <row r="28" spans="1:32">
      <c r="D28" s="129" t="s">
        <v>107</v>
      </c>
      <c r="E28" s="135">
        <f>$C9*Data_b!B39</f>
        <v>0</v>
      </c>
      <c r="F28" s="135">
        <f>$C9*Data_b!C39</f>
        <v>0</v>
      </c>
      <c r="G28" s="135">
        <f>$C9*Data_b!D39</f>
        <v>0</v>
      </c>
      <c r="H28" s="135">
        <f>$C9*Data_b!E39</f>
        <v>0</v>
      </c>
      <c r="I28" s="136">
        <f>$C9*Data_b!F39</f>
        <v>0</v>
      </c>
      <c r="K28" s="129" t="s">
        <v>107</v>
      </c>
      <c r="L28" s="159">
        <f>Inputs!B19</f>
        <v>0</v>
      </c>
      <c r="M28" s="159">
        <f>Inputs!C19</f>
        <v>0</v>
      </c>
      <c r="N28" s="159">
        <f>Inputs!D19</f>
        <v>0</v>
      </c>
      <c r="O28" s="589">
        <f>M10</f>
        <v>8240.5479452054788</v>
      </c>
      <c r="P28" s="159">
        <f>Inputs!F19</f>
        <v>0</v>
      </c>
      <c r="R28" s="129" t="s">
        <v>107</v>
      </c>
      <c r="S28" s="159">
        <f>E28*L28</f>
        <v>0</v>
      </c>
      <c r="T28" s="159">
        <f t="shared" ref="T28:T29" si="7">F28*M28</f>
        <v>0</v>
      </c>
      <c r="U28" s="159">
        <f t="shared" ref="U28:U29" si="8">G28*N28</f>
        <v>0</v>
      </c>
      <c r="V28" s="159">
        <f t="shared" ref="V28:V30" si="9">H28*O28</f>
        <v>0</v>
      </c>
      <c r="W28" s="163">
        <f t="shared" ref="W28:W30" si="10">I28*P28</f>
        <v>0</v>
      </c>
      <c r="Y28" s="169">
        <f>SUM(S28:W28)</f>
        <v>0</v>
      </c>
      <c r="Z28" s="169">
        <f t="shared" ref="Z28:Z30" si="11">SUM(L28:P28)</f>
        <v>8240.5479452054788</v>
      </c>
      <c r="AE28" s="168"/>
      <c r="AF28" s="168"/>
    </row>
    <row r="29" spans="1:32">
      <c r="D29" s="129" t="s">
        <v>172</v>
      </c>
      <c r="E29" s="135">
        <f>$C10*Data_b!B40</f>
        <v>0</v>
      </c>
      <c r="F29" s="135">
        <f>$C10*Data_b!C40</f>
        <v>0</v>
      </c>
      <c r="G29" s="135">
        <f>$C10*Data_b!D40</f>
        <v>0</v>
      </c>
      <c r="H29" s="135">
        <f>$C10*Data_b!E40</f>
        <v>0</v>
      </c>
      <c r="I29" s="136">
        <f>$C10*Data_b!F40</f>
        <v>0</v>
      </c>
      <c r="K29" s="129" t="s">
        <v>172</v>
      </c>
      <c r="L29" s="159">
        <f>Inputs!B20</f>
        <v>0</v>
      </c>
      <c r="M29" s="159">
        <f>Inputs!C20</f>
        <v>0</v>
      </c>
      <c r="N29" s="159">
        <f>Inputs!D20</f>
        <v>0</v>
      </c>
      <c r="O29" s="159">
        <f>Inputs!E20</f>
        <v>0</v>
      </c>
      <c r="P29" s="159">
        <f>Inputs!F20</f>
        <v>0</v>
      </c>
      <c r="R29" s="129" t="s">
        <v>172</v>
      </c>
      <c r="S29" s="159">
        <f t="shared" ref="S29" si="12">E29*L29</f>
        <v>0</v>
      </c>
      <c r="T29" s="159">
        <f t="shared" si="7"/>
        <v>0</v>
      </c>
      <c r="U29" s="159">
        <f t="shared" si="8"/>
        <v>0</v>
      </c>
      <c r="V29" s="159">
        <f t="shared" si="9"/>
        <v>0</v>
      </c>
      <c r="W29" s="163">
        <f t="shared" si="10"/>
        <v>0</v>
      </c>
      <c r="Y29" s="169">
        <f t="shared" ref="Y29:Y30" si="13">SUM(S29:W29)</f>
        <v>0</v>
      </c>
      <c r="Z29" s="169">
        <f t="shared" si="11"/>
        <v>0</v>
      </c>
      <c r="AE29" s="168"/>
      <c r="AF29" s="168"/>
    </row>
    <row r="30" spans="1:32">
      <c r="D30" s="129" t="s">
        <v>173</v>
      </c>
      <c r="E30" s="98"/>
      <c r="F30" s="98"/>
      <c r="G30" s="98"/>
      <c r="H30" s="135">
        <f>$C11*Data_b!E41</f>
        <v>0</v>
      </c>
      <c r="I30" s="136">
        <f>$C11*Data_b!F41</f>
        <v>0</v>
      </c>
      <c r="K30" s="129" t="s">
        <v>173</v>
      </c>
      <c r="L30" s="98"/>
      <c r="M30" s="98"/>
      <c r="N30" s="98"/>
      <c r="O30" s="159">
        <f>Inputs!E21</f>
        <v>0</v>
      </c>
      <c r="P30" s="159">
        <f>Inputs!F21</f>
        <v>0</v>
      </c>
      <c r="R30" s="129" t="s">
        <v>173</v>
      </c>
      <c r="S30" s="98"/>
      <c r="T30" s="98"/>
      <c r="U30" s="98"/>
      <c r="V30" s="159">
        <f t="shared" si="9"/>
        <v>0</v>
      </c>
      <c r="W30" s="163">
        <f t="shared" si="10"/>
        <v>0</v>
      </c>
      <c r="Y30" s="169">
        <f t="shared" si="13"/>
        <v>0</v>
      </c>
      <c r="Z30" s="169">
        <f t="shared" si="11"/>
        <v>0</v>
      </c>
      <c r="AE30" s="168"/>
      <c r="AF30" s="168"/>
    </row>
    <row r="31" spans="1:32">
      <c r="D31" s="151" t="s">
        <v>185</v>
      </c>
      <c r="E31" s="140" t="s">
        <v>190</v>
      </c>
      <c r="F31" s="140" t="s">
        <v>192</v>
      </c>
      <c r="G31" s="140" t="s">
        <v>191</v>
      </c>
      <c r="H31" s="140" t="s">
        <v>193</v>
      </c>
      <c r="I31" s="141" t="s">
        <v>194</v>
      </c>
      <c r="K31" s="151" t="s">
        <v>185</v>
      </c>
      <c r="L31" s="140" t="s">
        <v>190</v>
      </c>
      <c r="M31" s="140" t="s">
        <v>192</v>
      </c>
      <c r="N31" s="140" t="s">
        <v>191</v>
      </c>
      <c r="O31" s="140" t="s">
        <v>193</v>
      </c>
      <c r="P31" s="141" t="s">
        <v>194</v>
      </c>
      <c r="R31" s="151" t="s">
        <v>185</v>
      </c>
      <c r="S31" s="140" t="s">
        <v>190</v>
      </c>
      <c r="T31" s="140" t="s">
        <v>192</v>
      </c>
      <c r="U31" s="140" t="s">
        <v>191</v>
      </c>
      <c r="V31" s="140" t="s">
        <v>193</v>
      </c>
      <c r="W31" s="141" t="s">
        <v>194</v>
      </c>
      <c r="Y31" s="168"/>
      <c r="Z31" s="168"/>
      <c r="AE31" s="168"/>
      <c r="AF31" s="168"/>
    </row>
    <row r="32" spans="1:32">
      <c r="D32" s="148"/>
      <c r="E32" s="96" t="s">
        <v>184</v>
      </c>
      <c r="F32" s="96" t="s">
        <v>184</v>
      </c>
      <c r="G32" s="96" t="s">
        <v>184</v>
      </c>
      <c r="H32" s="96" t="s">
        <v>184</v>
      </c>
      <c r="I32" s="128" t="s">
        <v>184</v>
      </c>
      <c r="K32" s="148"/>
      <c r="L32" s="96" t="s">
        <v>159</v>
      </c>
      <c r="M32" s="96" t="s">
        <v>159</v>
      </c>
      <c r="N32" s="96" t="s">
        <v>159</v>
      </c>
      <c r="O32" s="96" t="s">
        <v>159</v>
      </c>
      <c r="P32" s="128" t="s">
        <v>159</v>
      </c>
      <c r="R32" s="148"/>
      <c r="S32" s="96" t="s">
        <v>142</v>
      </c>
      <c r="T32" s="96" t="s">
        <v>142</v>
      </c>
      <c r="U32" s="96" t="s">
        <v>142</v>
      </c>
      <c r="V32" s="96" t="s">
        <v>142</v>
      </c>
      <c r="W32" s="128" t="s">
        <v>142</v>
      </c>
      <c r="Y32" s="168"/>
      <c r="Z32" s="168"/>
      <c r="AE32" s="168"/>
      <c r="AF32" s="168"/>
    </row>
    <row r="33" spans="4:32">
      <c r="D33" s="129" t="s">
        <v>107</v>
      </c>
      <c r="E33" s="273">
        <f t="shared" ref="E33:I34" si="14">$C$14</f>
        <v>1.9636079944160859E-5</v>
      </c>
      <c r="F33" s="273">
        <f t="shared" si="14"/>
        <v>1.9636079944160859E-5</v>
      </c>
      <c r="G33" s="273">
        <f t="shared" si="14"/>
        <v>1.9636079944160859E-5</v>
      </c>
      <c r="H33" s="273">
        <f t="shared" si="14"/>
        <v>1.9636079944160859E-5</v>
      </c>
      <c r="I33" s="274">
        <f t="shared" si="14"/>
        <v>1.9636079944160859E-5</v>
      </c>
      <c r="K33" s="129" t="s">
        <v>107</v>
      </c>
      <c r="L33" s="159">
        <f>Inputs!B24</f>
        <v>0</v>
      </c>
      <c r="M33" s="159">
        <f>Inputs!C24</f>
        <v>0</v>
      </c>
      <c r="N33" s="159">
        <f>Inputs!D24</f>
        <v>0</v>
      </c>
      <c r="O33" s="589">
        <f>M10*365</f>
        <v>3007799.9999999995</v>
      </c>
      <c r="P33" s="163">
        <f>Inputs!F24</f>
        <v>0</v>
      </c>
      <c r="R33" s="129" t="s">
        <v>107</v>
      </c>
      <c r="S33" s="159">
        <f>E33*L33</f>
        <v>0</v>
      </c>
      <c r="T33" s="159">
        <f t="shared" ref="T33:T34" si="15">F33*M33</f>
        <v>0</v>
      </c>
      <c r="U33" s="159">
        <f t="shared" ref="U33:U34" si="16">G33*N33</f>
        <v>0</v>
      </c>
      <c r="V33" s="159">
        <f t="shared" ref="V33:V35" si="17">H33*O33</f>
        <v>59.06140125604702</v>
      </c>
      <c r="W33" s="163">
        <f t="shared" ref="W33:W35" si="18">I33*P33</f>
        <v>0</v>
      </c>
      <c r="Y33" s="168"/>
      <c r="Z33" s="168"/>
      <c r="AE33" s="169">
        <f>SUM(S33:W33)</f>
        <v>59.06140125604702</v>
      </c>
      <c r="AF33" s="169">
        <f>SUM(L33:P33)</f>
        <v>3007799.9999999995</v>
      </c>
    </row>
    <row r="34" spans="4:32">
      <c r="D34" s="129" t="s">
        <v>172</v>
      </c>
      <c r="E34" s="273">
        <f t="shared" si="14"/>
        <v>1.9636079944160859E-5</v>
      </c>
      <c r="F34" s="273">
        <f t="shared" si="14"/>
        <v>1.9636079944160859E-5</v>
      </c>
      <c r="G34" s="273">
        <f t="shared" si="14"/>
        <v>1.9636079944160859E-5</v>
      </c>
      <c r="H34" s="273">
        <f t="shared" si="14"/>
        <v>1.9636079944160859E-5</v>
      </c>
      <c r="I34" s="274">
        <f t="shared" si="14"/>
        <v>1.9636079944160859E-5</v>
      </c>
      <c r="K34" s="129" t="s">
        <v>172</v>
      </c>
      <c r="L34" s="159">
        <f>Inputs!B25</f>
        <v>0</v>
      </c>
      <c r="M34" s="159">
        <f>Inputs!C25</f>
        <v>0</v>
      </c>
      <c r="N34" s="159">
        <f>Inputs!D25</f>
        <v>0</v>
      </c>
      <c r="O34" s="159">
        <f>Inputs!E25</f>
        <v>0</v>
      </c>
      <c r="P34" s="163">
        <f>Inputs!F25</f>
        <v>0</v>
      </c>
      <c r="R34" s="129" t="s">
        <v>172</v>
      </c>
      <c r="S34" s="159">
        <f t="shared" ref="S34" si="19">E34*L34</f>
        <v>0</v>
      </c>
      <c r="T34" s="159">
        <f t="shared" si="15"/>
        <v>0</v>
      </c>
      <c r="U34" s="159">
        <f t="shared" si="16"/>
        <v>0</v>
      </c>
      <c r="V34" s="159">
        <f t="shared" si="17"/>
        <v>0</v>
      </c>
      <c r="W34" s="163">
        <f t="shared" si="18"/>
        <v>0</v>
      </c>
      <c r="Y34" s="168"/>
      <c r="Z34" s="168"/>
      <c r="AE34" s="169">
        <f t="shared" ref="AE34:AE35" si="20">SUM(S34:W34)</f>
        <v>0</v>
      </c>
      <c r="AF34" s="169">
        <f t="shared" ref="AF34:AF35" si="21">SUM(L34:P34)</f>
        <v>0</v>
      </c>
    </row>
    <row r="35" spans="4:32">
      <c r="D35" s="129" t="s">
        <v>173</v>
      </c>
      <c r="E35" s="275"/>
      <c r="F35" s="275"/>
      <c r="G35" s="275"/>
      <c r="H35" s="273">
        <f>$C$14</f>
        <v>1.9636079944160859E-5</v>
      </c>
      <c r="I35" s="274">
        <f>$C$14</f>
        <v>1.9636079944160859E-5</v>
      </c>
      <c r="K35" s="129" t="s">
        <v>173</v>
      </c>
      <c r="L35" s="98"/>
      <c r="M35" s="98"/>
      <c r="N35" s="98"/>
      <c r="O35" s="159">
        <f>Inputs!E26</f>
        <v>0</v>
      </c>
      <c r="P35" s="163">
        <f>Inputs!F26</f>
        <v>0</v>
      </c>
      <c r="R35" s="129" t="s">
        <v>173</v>
      </c>
      <c r="S35" s="98"/>
      <c r="T35" s="98"/>
      <c r="U35" s="98"/>
      <c r="V35" s="159">
        <f t="shared" si="17"/>
        <v>0</v>
      </c>
      <c r="W35" s="163">
        <f t="shared" si="18"/>
        <v>0</v>
      </c>
      <c r="Y35" s="168"/>
      <c r="Z35" s="168"/>
      <c r="AE35" s="169">
        <f t="shared" si="20"/>
        <v>0</v>
      </c>
      <c r="AF35" s="169">
        <f t="shared" si="21"/>
        <v>0</v>
      </c>
    </row>
    <row r="36" spans="4:32" ht="15" thickBot="1">
      <c r="D36" s="149"/>
      <c r="E36" s="150"/>
      <c r="F36" s="150"/>
      <c r="G36" s="150"/>
      <c r="H36" s="150"/>
      <c r="I36" s="134"/>
      <c r="K36" s="130"/>
      <c r="L36" s="29"/>
      <c r="M36" s="29"/>
      <c r="N36" s="29"/>
      <c r="O36" s="29"/>
      <c r="P36" s="131"/>
      <c r="R36" s="149"/>
      <c r="S36" s="150"/>
      <c r="T36" s="150"/>
      <c r="U36" s="150"/>
      <c r="V36" s="150"/>
      <c r="W36" s="134"/>
      <c r="Y36" s="168"/>
      <c r="Z36" s="168"/>
      <c r="AE36" s="168"/>
      <c r="AF36" s="168"/>
    </row>
    <row r="37" spans="4:32" ht="15" thickBot="1">
      <c r="D37" s="94" t="s">
        <v>186</v>
      </c>
      <c r="E37" s="142"/>
      <c r="F37" s="142"/>
      <c r="G37" s="142"/>
      <c r="H37" s="142"/>
      <c r="I37" s="143"/>
      <c r="K37" s="94" t="s">
        <v>186</v>
      </c>
      <c r="L37" s="142"/>
      <c r="M37" s="142"/>
      <c r="N37" s="142"/>
      <c r="O37" s="142"/>
      <c r="P37" s="143"/>
      <c r="R37" s="94" t="s">
        <v>186</v>
      </c>
      <c r="S37" s="142"/>
      <c r="T37" s="142"/>
      <c r="U37" s="142"/>
      <c r="V37" s="142"/>
      <c r="W37" s="143"/>
      <c r="Y37" s="165" t="s">
        <v>186</v>
      </c>
      <c r="Z37" s="165" t="s">
        <v>186</v>
      </c>
      <c r="AE37" s="165" t="s">
        <v>186</v>
      </c>
      <c r="AF37" s="165" t="s">
        <v>186</v>
      </c>
    </row>
    <row r="38" spans="4:32">
      <c r="D38" s="153" t="s">
        <v>187</v>
      </c>
      <c r="E38" s="155" t="s">
        <v>164</v>
      </c>
      <c r="F38" s="156" t="s">
        <v>164</v>
      </c>
      <c r="G38" s="155" t="s">
        <v>185</v>
      </c>
      <c r="H38" s="157" t="s">
        <v>185</v>
      </c>
      <c r="I38" s="152"/>
      <c r="K38" s="153" t="s">
        <v>187</v>
      </c>
      <c r="L38" s="155" t="s">
        <v>164</v>
      </c>
      <c r="M38" s="156" t="s">
        <v>164</v>
      </c>
      <c r="N38" s="155" t="s">
        <v>185</v>
      </c>
      <c r="O38" s="157" t="s">
        <v>185</v>
      </c>
      <c r="P38" s="152"/>
      <c r="R38" s="153" t="s">
        <v>187</v>
      </c>
      <c r="S38" s="155" t="s">
        <v>164</v>
      </c>
      <c r="T38" s="156" t="s">
        <v>164</v>
      </c>
      <c r="U38" s="155" t="s">
        <v>185</v>
      </c>
      <c r="V38" s="157" t="s">
        <v>185</v>
      </c>
      <c r="W38" s="152"/>
      <c r="Y38" s="168"/>
      <c r="Z38" s="168"/>
      <c r="AE38" s="167"/>
      <c r="AF38" s="167"/>
    </row>
    <row r="39" spans="4:32">
      <c r="D39" s="154"/>
      <c r="E39" s="104" t="s">
        <v>539</v>
      </c>
      <c r="F39" s="104" t="s">
        <v>540</v>
      </c>
      <c r="G39" s="104" t="s">
        <v>539</v>
      </c>
      <c r="H39" s="104" t="s">
        <v>540</v>
      </c>
      <c r="I39" s="131"/>
      <c r="K39" s="154"/>
      <c r="L39" s="104" t="s">
        <v>539</v>
      </c>
      <c r="M39" s="104" t="s">
        <v>540</v>
      </c>
      <c r="N39" s="104" t="s">
        <v>539</v>
      </c>
      <c r="O39" s="104" t="s">
        <v>540</v>
      </c>
      <c r="P39" s="131"/>
      <c r="R39" s="154"/>
      <c r="S39" s="104" t="s">
        <v>539</v>
      </c>
      <c r="T39" s="104" t="s">
        <v>540</v>
      </c>
      <c r="U39" s="104" t="s">
        <v>539</v>
      </c>
      <c r="V39" s="104" t="s">
        <v>540</v>
      </c>
      <c r="W39" s="131"/>
      <c r="Y39" s="168"/>
      <c r="Z39" s="168"/>
      <c r="AE39" s="168"/>
      <c r="AF39" s="168"/>
    </row>
    <row r="40" spans="4:32">
      <c r="D40" s="127"/>
      <c r="E40" s="105" t="s">
        <v>174</v>
      </c>
      <c r="F40" s="105" t="s">
        <v>174</v>
      </c>
      <c r="G40" s="105" t="s">
        <v>184</v>
      </c>
      <c r="H40" s="105" t="s">
        <v>184</v>
      </c>
      <c r="I40" s="131"/>
      <c r="K40" s="127"/>
      <c r="L40" s="105" t="s">
        <v>117</v>
      </c>
      <c r="M40" s="105" t="s">
        <v>117</v>
      </c>
      <c r="N40" s="105" t="s">
        <v>159</v>
      </c>
      <c r="O40" s="105" t="s">
        <v>159</v>
      </c>
      <c r="P40" s="131"/>
      <c r="R40" s="127"/>
      <c r="S40" s="105" t="s">
        <v>142</v>
      </c>
      <c r="T40" s="105" t="s">
        <v>142</v>
      </c>
      <c r="U40" s="105" t="s">
        <v>142</v>
      </c>
      <c r="V40" s="105" t="s">
        <v>142</v>
      </c>
      <c r="W40" s="131"/>
      <c r="Y40" s="168"/>
      <c r="Z40" s="168"/>
      <c r="AE40" s="168"/>
      <c r="AF40" s="168"/>
    </row>
    <row r="41" spans="4:32">
      <c r="D41" s="129" t="s">
        <v>536</v>
      </c>
      <c r="E41" s="135">
        <f>$C$12</f>
        <v>0.17201404877749671</v>
      </c>
      <c r="F41" s="135">
        <f>$C$12</f>
        <v>0.17201404877749671</v>
      </c>
      <c r="G41" s="273">
        <f>H41*Data_b!$B$54/Data_b!$B$55</f>
        <v>4.9099811927507677E-4</v>
      </c>
      <c r="H41" s="273">
        <f>$C$14</f>
        <v>1.9636079944160859E-5</v>
      </c>
      <c r="I41" s="131"/>
      <c r="K41" s="129" t="s">
        <v>536</v>
      </c>
      <c r="L41" s="159">
        <f>Inputs!B32</f>
        <v>865149.59396427777</v>
      </c>
      <c r="M41" s="159">
        <f>Inputs!C32</f>
        <v>106056100.40603572</v>
      </c>
      <c r="N41" s="159">
        <f>Inputs!D32</f>
        <v>202965594.74388081</v>
      </c>
      <c r="O41" s="159">
        <f>Inputs!E32</f>
        <v>24880945035.751339</v>
      </c>
      <c r="P41" s="131"/>
      <c r="R41" s="129" t="s">
        <v>536</v>
      </c>
      <c r="S41" s="159">
        <f t="shared" ref="S41:S42" si="22">E41*L41</f>
        <v>148817.88445600274</v>
      </c>
      <c r="T41" s="159">
        <f t="shared" ref="T41:T43" si="23">F41*M41</f>
        <v>18243139.228394918</v>
      </c>
      <c r="U41" s="159">
        <f t="shared" ref="U41:U43" si="24">G41*N41</f>
        <v>99655.72529679288</v>
      </c>
      <c r="V41" s="159">
        <f t="shared" ref="V41:V43" si="25">H41*O41</f>
        <v>488564.22580828558</v>
      </c>
      <c r="W41" s="131"/>
      <c r="Y41" s="169">
        <f>SUM(S41:T41)</f>
        <v>18391957.112850919</v>
      </c>
      <c r="Z41" s="169">
        <f t="shared" ref="Z41:Z43" si="26">SUM(L41:M41)</f>
        <v>106921250</v>
      </c>
      <c r="AE41" s="169">
        <f>SUM(U41:V41)</f>
        <v>588219.95110507845</v>
      </c>
      <c r="AF41" s="169">
        <f>SUM(N41:O41)</f>
        <v>25083910630.49522</v>
      </c>
    </row>
    <row r="42" spans="4:32">
      <c r="D42" s="129" t="s">
        <v>537</v>
      </c>
      <c r="E42" s="135">
        <f>$C$12</f>
        <v>0.17201404877749671</v>
      </c>
      <c r="F42" s="135">
        <f>$C$12</f>
        <v>0.17201404877749671</v>
      </c>
      <c r="G42" s="273">
        <f>H42*Data_b!$B$54/Data_b!$B$55</f>
        <v>4.9099811927507677E-4</v>
      </c>
      <c r="H42" s="273">
        <f>$C$14</f>
        <v>1.9636079944160859E-5</v>
      </c>
      <c r="I42" s="131"/>
      <c r="K42" s="129" t="s">
        <v>537</v>
      </c>
      <c r="L42" s="159">
        <f>Inputs!B33</f>
        <v>845262.5</v>
      </c>
      <c r="M42" s="159">
        <f>Inputs!C33</f>
        <v>56524854.5</v>
      </c>
      <c r="N42" s="159">
        <f>Inputs!D33</f>
        <v>12541852.999999998</v>
      </c>
      <c r="O42" s="159">
        <f>Inputs!E33</f>
        <v>16138854745.999998</v>
      </c>
      <c r="P42" s="131"/>
      <c r="R42" s="129" t="s">
        <v>537</v>
      </c>
      <c r="S42" s="159">
        <f t="shared" si="22"/>
        <v>145397.02490478882</v>
      </c>
      <c r="T42" s="159">
        <f t="shared" si="23"/>
        <v>9723069.0791039038</v>
      </c>
      <c r="U42" s="159">
        <f t="shared" si="24"/>
        <v>6158.0262352244781</v>
      </c>
      <c r="V42" s="159">
        <f t="shared" si="25"/>
        <v>316903.84199965588</v>
      </c>
      <c r="W42" s="131"/>
      <c r="Y42" s="169">
        <f t="shared" ref="Y42:Y55" si="27">SUM(S42:T42)</f>
        <v>9868466.1040086932</v>
      </c>
      <c r="Z42" s="169">
        <f t="shared" si="26"/>
        <v>57370117</v>
      </c>
      <c r="AE42" s="169">
        <f t="shared" ref="AE42:AE43" si="28">SUM(U42:V42)</f>
        <v>323061.86823488038</v>
      </c>
      <c r="AF42" s="169">
        <f t="shared" ref="AF42:AF43" si="29">SUM(N42:O42)</f>
        <v>16151396598.999998</v>
      </c>
    </row>
    <row r="43" spans="4:32">
      <c r="D43" s="129" t="s">
        <v>538</v>
      </c>
      <c r="E43" s="135">
        <f t="array" ref="E43:H43">TRANSPOSE('Short uses'!C26:C29)</f>
        <v>5.0509097063663869E-2</v>
      </c>
      <c r="F43" s="135">
        <v>5.0509097063663869E-2</v>
      </c>
      <c r="G43" s="273">
        <v>1.5549449524967555E-3</v>
      </c>
      <c r="H43" s="273">
        <v>1.1397218152141499E-3</v>
      </c>
      <c r="I43" s="131"/>
      <c r="K43" s="129" t="s">
        <v>538</v>
      </c>
      <c r="L43" s="159">
        <f>Inputs!B34</f>
        <v>0</v>
      </c>
      <c r="M43" s="159">
        <f>Inputs!C34</f>
        <v>0</v>
      </c>
      <c r="N43" s="159">
        <f>Inputs!D34</f>
        <v>0</v>
      </c>
      <c r="O43" s="159">
        <f>Inputs!E34</f>
        <v>0</v>
      </c>
      <c r="P43" s="131"/>
      <c r="R43" s="129" t="s">
        <v>538</v>
      </c>
      <c r="S43" s="159">
        <f>E43*L43</f>
        <v>0</v>
      </c>
      <c r="T43" s="159">
        <f t="shared" si="23"/>
        <v>0</v>
      </c>
      <c r="U43" s="159">
        <f t="shared" si="24"/>
        <v>0</v>
      </c>
      <c r="V43" s="159">
        <f t="shared" si="25"/>
        <v>0</v>
      </c>
      <c r="W43" s="131"/>
      <c r="Y43" s="169">
        <f t="shared" si="27"/>
        <v>0</v>
      </c>
      <c r="Z43" s="169">
        <f t="shared" si="26"/>
        <v>0</v>
      </c>
      <c r="AE43" s="169">
        <f t="shared" si="28"/>
        <v>0</v>
      </c>
      <c r="AF43" s="169">
        <f t="shared" si="29"/>
        <v>0</v>
      </c>
    </row>
    <row r="44" spans="4:32">
      <c r="D44" s="154" t="s">
        <v>187</v>
      </c>
      <c r="E44" s="103" t="s">
        <v>164</v>
      </c>
      <c r="F44" s="99" t="s">
        <v>164</v>
      </c>
      <c r="G44" s="103" t="s">
        <v>185</v>
      </c>
      <c r="H44" s="100"/>
      <c r="I44" s="131"/>
      <c r="K44" s="154" t="s">
        <v>187</v>
      </c>
      <c r="L44" s="103" t="s">
        <v>164</v>
      </c>
      <c r="M44" s="99" t="s">
        <v>164</v>
      </c>
      <c r="N44" s="103" t="s">
        <v>185</v>
      </c>
      <c r="O44" s="100"/>
      <c r="P44" s="131"/>
      <c r="R44" s="154" t="s">
        <v>187</v>
      </c>
      <c r="S44" s="103" t="s">
        <v>164</v>
      </c>
      <c r="T44" s="99" t="s">
        <v>164</v>
      </c>
      <c r="U44" s="103" t="s">
        <v>185</v>
      </c>
      <c r="V44" s="100"/>
      <c r="W44" s="131"/>
      <c r="Y44" s="168"/>
      <c r="Z44" s="168"/>
      <c r="AE44" s="168"/>
      <c r="AF44" s="168"/>
    </row>
    <row r="45" spans="4:32">
      <c r="D45" s="127"/>
      <c r="E45" s="104" t="s">
        <v>547</v>
      </c>
      <c r="F45" s="106" t="s">
        <v>548</v>
      </c>
      <c r="G45" s="104"/>
      <c r="H45" s="107"/>
      <c r="I45" s="131"/>
      <c r="K45" s="127"/>
      <c r="L45" s="104" t="s">
        <v>547</v>
      </c>
      <c r="M45" s="106" t="s">
        <v>548</v>
      </c>
      <c r="N45" s="104"/>
      <c r="O45" s="107"/>
      <c r="P45" s="131"/>
      <c r="R45" s="127"/>
      <c r="S45" s="104" t="s">
        <v>547</v>
      </c>
      <c r="T45" s="106" t="s">
        <v>548</v>
      </c>
      <c r="U45" s="104"/>
      <c r="V45" s="107"/>
      <c r="W45" s="131"/>
      <c r="Y45" s="168"/>
      <c r="Z45" s="168"/>
      <c r="AE45" s="168"/>
      <c r="AF45" s="168"/>
    </row>
    <row r="46" spans="4:32">
      <c r="D46" s="127"/>
      <c r="E46" s="105" t="s">
        <v>174</v>
      </c>
      <c r="F46" s="101" t="s">
        <v>174</v>
      </c>
      <c r="G46" s="105" t="s">
        <v>184</v>
      </c>
      <c r="H46" s="102"/>
      <c r="I46" s="131"/>
      <c r="K46" s="127"/>
      <c r="L46" s="105" t="s">
        <v>117</v>
      </c>
      <c r="M46" s="101" t="s">
        <v>117</v>
      </c>
      <c r="N46" s="105" t="s">
        <v>159</v>
      </c>
      <c r="O46" s="102"/>
      <c r="P46" s="131"/>
      <c r="R46" s="127"/>
      <c r="S46" s="105" t="s">
        <v>142</v>
      </c>
      <c r="T46" s="101" t="s">
        <v>142</v>
      </c>
      <c r="U46" s="105" t="s">
        <v>142</v>
      </c>
      <c r="V46" s="102"/>
      <c r="W46" s="131"/>
      <c r="Y46" s="168"/>
      <c r="Z46" s="168"/>
      <c r="AE46" s="168"/>
      <c r="AF46" s="168"/>
    </row>
    <row r="47" spans="4:32">
      <c r="D47" s="129" t="s">
        <v>541</v>
      </c>
      <c r="E47" s="135">
        <f>Data_b!B47*$C$12</f>
        <v>1.0320842926649803</v>
      </c>
      <c r="F47" s="135">
        <f>Data_b!C47*$C$12</f>
        <v>1.7201404877749671</v>
      </c>
      <c r="G47" s="273">
        <f>$C$14</f>
        <v>1.9636079944160859E-5</v>
      </c>
      <c r="H47" s="98"/>
      <c r="I47" s="131"/>
      <c r="K47" s="129" t="s">
        <v>541</v>
      </c>
      <c r="L47" s="159">
        <f>Inputs!B38</f>
        <v>0</v>
      </c>
      <c r="M47" s="159">
        <f>Inputs!C38</f>
        <v>0</v>
      </c>
      <c r="N47" s="159">
        <f>Inputs!D38</f>
        <v>0</v>
      </c>
      <c r="O47" s="98"/>
      <c r="P47" s="131"/>
      <c r="R47" s="129" t="s">
        <v>541</v>
      </c>
      <c r="S47" s="159">
        <f>E47*L47/2</f>
        <v>0</v>
      </c>
      <c r="T47" s="159">
        <f>F47*M47/2</f>
        <v>0</v>
      </c>
      <c r="U47" s="159">
        <f>G47*N47</f>
        <v>0</v>
      </c>
      <c r="V47" s="98"/>
      <c r="W47" s="131"/>
      <c r="Y47" s="169">
        <f t="shared" si="27"/>
        <v>0</v>
      </c>
      <c r="Z47" s="169">
        <f>SUM(L47:M47)*12/365</f>
        <v>0</v>
      </c>
      <c r="AE47" s="169">
        <f>SUM(U47:V47)</f>
        <v>0</v>
      </c>
      <c r="AF47" s="169">
        <f>SUM(N47:O47)</f>
        <v>0</v>
      </c>
    </row>
    <row r="48" spans="4:32">
      <c r="D48" s="154" t="s">
        <v>187</v>
      </c>
      <c r="E48" s="103" t="s">
        <v>164</v>
      </c>
      <c r="F48" s="99" t="s">
        <v>164</v>
      </c>
      <c r="G48" s="103" t="s">
        <v>185</v>
      </c>
      <c r="H48" s="100"/>
      <c r="I48" s="131"/>
      <c r="K48" s="154" t="s">
        <v>187</v>
      </c>
      <c r="L48" s="103" t="s">
        <v>164</v>
      </c>
      <c r="M48" s="99" t="s">
        <v>164</v>
      </c>
      <c r="N48" s="103" t="s">
        <v>185</v>
      </c>
      <c r="O48" s="100"/>
      <c r="P48" s="131"/>
      <c r="R48" s="154" t="s">
        <v>187</v>
      </c>
      <c r="S48" s="103" t="s">
        <v>164</v>
      </c>
      <c r="T48" s="99" t="s">
        <v>164</v>
      </c>
      <c r="U48" s="103" t="s">
        <v>185</v>
      </c>
      <c r="V48" s="100"/>
      <c r="W48" s="131"/>
      <c r="Y48" s="168"/>
      <c r="Z48" s="168"/>
      <c r="AE48" s="168"/>
      <c r="AF48" s="168"/>
    </row>
    <row r="49" spans="4:36">
      <c r="D49" s="127"/>
      <c r="E49" s="104" t="s">
        <v>547</v>
      </c>
      <c r="F49" s="106" t="s">
        <v>548</v>
      </c>
      <c r="G49" s="104"/>
      <c r="H49" s="107"/>
      <c r="I49" s="131"/>
      <c r="K49" s="127"/>
      <c r="L49" s="104" t="s">
        <v>547</v>
      </c>
      <c r="M49" s="106" t="s">
        <v>548</v>
      </c>
      <c r="N49" s="104"/>
      <c r="O49" s="107"/>
      <c r="P49" s="131"/>
      <c r="R49" s="127"/>
      <c r="S49" s="104" t="s">
        <v>547</v>
      </c>
      <c r="T49" s="106" t="s">
        <v>548</v>
      </c>
      <c r="U49" s="104"/>
      <c r="V49" s="107"/>
      <c r="W49" s="131"/>
      <c r="Y49" s="168"/>
      <c r="Z49" s="168"/>
      <c r="AE49" s="168"/>
      <c r="AF49" s="168"/>
    </row>
    <row r="50" spans="4:36">
      <c r="D50" s="127"/>
      <c r="E50" s="105" t="s">
        <v>174</v>
      </c>
      <c r="F50" s="101" t="s">
        <v>174</v>
      </c>
      <c r="G50" s="105" t="s">
        <v>184</v>
      </c>
      <c r="H50" s="102"/>
      <c r="I50" s="131"/>
      <c r="K50" s="127"/>
      <c r="L50" s="105" t="s">
        <v>117</v>
      </c>
      <c r="M50" s="101" t="s">
        <v>117</v>
      </c>
      <c r="N50" s="105" t="s">
        <v>159</v>
      </c>
      <c r="O50" s="102"/>
      <c r="P50" s="131"/>
      <c r="R50" s="127"/>
      <c r="S50" s="105" t="s">
        <v>142</v>
      </c>
      <c r="T50" s="101" t="s">
        <v>142</v>
      </c>
      <c r="U50" s="105" t="s">
        <v>142</v>
      </c>
      <c r="V50" s="102"/>
      <c r="W50" s="131"/>
      <c r="Y50" s="168"/>
      <c r="Z50" s="168"/>
      <c r="AE50" s="168"/>
      <c r="AF50" s="168"/>
    </row>
    <row r="51" spans="4:36">
      <c r="D51" s="129" t="s">
        <v>543</v>
      </c>
      <c r="E51" s="135">
        <f>Data_b!B46*$C$12</f>
        <v>0.25802107316624506</v>
      </c>
      <c r="F51" s="135">
        <f>Data_b!C46*$C$12</f>
        <v>0.51604214633249013</v>
      </c>
      <c r="G51" s="273">
        <f>$C$14</f>
        <v>1.9636079944160859E-5</v>
      </c>
      <c r="H51" s="98"/>
      <c r="I51" s="131"/>
      <c r="K51" s="129" t="s">
        <v>543</v>
      </c>
      <c r="L51" s="159">
        <f>Inputs!B42</f>
        <v>38083490.714015611</v>
      </c>
      <c r="M51" s="159">
        <f>Inputs!C42</f>
        <v>39122186.885984398</v>
      </c>
      <c r="N51" s="159">
        <f>Inputs!D42</f>
        <v>4152637227.5741305</v>
      </c>
      <c r="O51" s="98"/>
      <c r="P51" s="131"/>
      <c r="R51" s="129" t="s">
        <v>543</v>
      </c>
      <c r="S51" s="159">
        <f>E51*L51/2</f>
        <v>4913171.5719735185</v>
      </c>
      <c r="T51" s="159">
        <f>F51*M51/2</f>
        <v>10094348.644932093</v>
      </c>
      <c r="U51" s="159">
        <f>G51*N51</f>
        <v>81541.516579744144</v>
      </c>
      <c r="V51" s="98"/>
      <c r="W51" s="131"/>
      <c r="Y51" s="169">
        <f t="shared" si="27"/>
        <v>15007520.216905612</v>
      </c>
      <c r="Z51" s="169">
        <f>SUM(L51:M51)</f>
        <v>77205677.600000009</v>
      </c>
      <c r="AE51" s="169">
        <f>SUM(U51:V51)</f>
        <v>81541.516579744144</v>
      </c>
      <c r="AF51" s="169">
        <f>SUM(N51:O51)</f>
        <v>4152637227.5741305</v>
      </c>
    </row>
    <row r="52" spans="4:36">
      <c r="D52" s="154" t="s">
        <v>187</v>
      </c>
      <c r="E52" s="103" t="s">
        <v>164</v>
      </c>
      <c r="F52" s="99" t="s">
        <v>164</v>
      </c>
      <c r="G52" s="103" t="s">
        <v>185</v>
      </c>
      <c r="H52" s="100"/>
      <c r="I52" s="131"/>
      <c r="K52" s="154" t="s">
        <v>187</v>
      </c>
      <c r="L52" s="103" t="s">
        <v>164</v>
      </c>
      <c r="M52" s="99" t="s">
        <v>164</v>
      </c>
      <c r="N52" s="103" t="s">
        <v>185</v>
      </c>
      <c r="O52" s="100"/>
      <c r="P52" s="131"/>
      <c r="R52" s="154" t="s">
        <v>187</v>
      </c>
      <c r="S52" s="103" t="s">
        <v>164</v>
      </c>
      <c r="T52" s="99" t="s">
        <v>164</v>
      </c>
      <c r="U52" s="103" t="s">
        <v>185</v>
      </c>
      <c r="V52" s="100"/>
      <c r="W52" s="131"/>
      <c r="Y52" s="168"/>
      <c r="Z52" s="168"/>
      <c r="AE52" s="168"/>
      <c r="AF52" s="168"/>
    </row>
    <row r="53" spans="4:36">
      <c r="D53" s="127"/>
      <c r="E53" s="104" t="s">
        <v>545</v>
      </c>
      <c r="F53" s="106" t="s">
        <v>546</v>
      </c>
      <c r="G53" s="104"/>
      <c r="H53" s="107"/>
      <c r="I53" s="131"/>
      <c r="K53" s="127"/>
      <c r="L53" s="104" t="s">
        <v>545</v>
      </c>
      <c r="M53" s="106" t="s">
        <v>546</v>
      </c>
      <c r="N53" s="104"/>
      <c r="O53" s="107"/>
      <c r="P53" s="131"/>
      <c r="R53" s="127"/>
      <c r="S53" s="104" t="s">
        <v>545</v>
      </c>
      <c r="T53" s="106" t="s">
        <v>546</v>
      </c>
      <c r="U53" s="104"/>
      <c r="V53" s="107"/>
      <c r="W53" s="131"/>
      <c r="Y53" s="168"/>
      <c r="Z53" s="168"/>
      <c r="AE53" s="168"/>
      <c r="AF53" s="168"/>
    </row>
    <row r="54" spans="4:36">
      <c r="D54" s="127"/>
      <c r="E54" s="105" t="s">
        <v>174</v>
      </c>
      <c r="F54" s="101" t="s">
        <v>174</v>
      </c>
      <c r="G54" s="105" t="s">
        <v>184</v>
      </c>
      <c r="H54" s="102"/>
      <c r="I54" s="131"/>
      <c r="K54" s="127"/>
      <c r="L54" s="105" t="s">
        <v>117</v>
      </c>
      <c r="M54" s="101" t="s">
        <v>117</v>
      </c>
      <c r="N54" s="105" t="s">
        <v>159</v>
      </c>
      <c r="O54" s="102"/>
      <c r="P54" s="131"/>
      <c r="R54" s="127"/>
      <c r="S54" s="105" t="s">
        <v>142</v>
      </c>
      <c r="T54" s="101" t="s">
        <v>142</v>
      </c>
      <c r="U54" s="105" t="s">
        <v>142</v>
      </c>
      <c r="V54" s="102"/>
      <c r="W54" s="131"/>
      <c r="Y54" s="168"/>
      <c r="Z54" s="168"/>
      <c r="AE54" s="168"/>
      <c r="AF54" s="168"/>
    </row>
    <row r="55" spans="4:36">
      <c r="D55" s="129" t="s">
        <v>542</v>
      </c>
      <c r="E55" s="135">
        <f>$C$12</f>
        <v>0.17201404877749671</v>
      </c>
      <c r="F55" s="135">
        <f>C12*Data_b!B45</f>
        <v>0.25802107316624506</v>
      </c>
      <c r="G55" s="273">
        <f>$C$14</f>
        <v>1.9636079944160859E-5</v>
      </c>
      <c r="H55" s="98"/>
      <c r="I55" s="131"/>
      <c r="K55" s="129" t="s">
        <v>542</v>
      </c>
      <c r="L55" s="159">
        <f>Inputs!B46</f>
        <v>64946273.353844963</v>
      </c>
      <c r="M55" s="159">
        <f>Inputs!C46</f>
        <v>0</v>
      </c>
      <c r="N55" s="159">
        <f>Inputs!D46</f>
        <v>13829735796.675871</v>
      </c>
      <c r="O55" s="98"/>
      <c r="P55" s="131"/>
      <c r="R55" s="129" t="s">
        <v>542</v>
      </c>
      <c r="S55" s="159">
        <f>E55*L55</f>
        <v>11171671.432604922</v>
      </c>
      <c r="T55" s="159">
        <f>F55*M55/2</f>
        <v>0</v>
      </c>
      <c r="U55" s="159">
        <f>G55*N55</f>
        <v>271561.7977101506</v>
      </c>
      <c r="V55" s="98"/>
      <c r="W55" s="131"/>
      <c r="Y55" s="169">
        <f t="shared" si="27"/>
        <v>11171671.432604922</v>
      </c>
      <c r="Z55" s="169">
        <f>SUM(L55:M55)</f>
        <v>64946273.353844963</v>
      </c>
      <c r="AE55" s="169">
        <f>SUM(U55:V55)</f>
        <v>271561.7977101506</v>
      </c>
      <c r="AF55" s="169">
        <f>SUM(N55:O55)</f>
        <v>13829735796.675871</v>
      </c>
    </row>
    <row r="56" spans="4:36">
      <c r="D56" s="154" t="s">
        <v>185</v>
      </c>
      <c r="E56" s="103"/>
      <c r="F56" s="99"/>
      <c r="G56" s="103" t="s">
        <v>185</v>
      </c>
      <c r="H56" s="100"/>
      <c r="I56" s="131"/>
      <c r="K56" s="154" t="s">
        <v>185</v>
      </c>
      <c r="L56" s="103"/>
      <c r="M56" s="99"/>
      <c r="N56" s="103" t="s">
        <v>185</v>
      </c>
      <c r="O56" s="100"/>
      <c r="P56" s="131"/>
      <c r="R56" s="154" t="s">
        <v>185</v>
      </c>
      <c r="S56" s="103"/>
      <c r="T56" s="99"/>
      <c r="U56" s="103" t="s">
        <v>185</v>
      </c>
      <c r="V56" s="100"/>
      <c r="W56" s="131"/>
      <c r="Y56" s="168"/>
      <c r="Z56" s="168"/>
      <c r="AE56" s="168"/>
      <c r="AF56" s="168"/>
    </row>
    <row r="57" spans="4:36">
      <c r="D57" s="127"/>
      <c r="E57" s="105"/>
      <c r="F57" s="101"/>
      <c r="G57" s="105" t="s">
        <v>184</v>
      </c>
      <c r="H57" s="102"/>
      <c r="I57" s="131"/>
      <c r="K57" s="127"/>
      <c r="L57" s="105"/>
      <c r="M57" s="101"/>
      <c r="N57" s="105" t="s">
        <v>159</v>
      </c>
      <c r="O57" s="102"/>
      <c r="P57" s="131"/>
      <c r="R57" s="127"/>
      <c r="S57" s="105"/>
      <c r="T57" s="101"/>
      <c r="U57" s="105" t="s">
        <v>142</v>
      </c>
      <c r="V57" s="102"/>
      <c r="W57" s="131"/>
      <c r="Y57" s="168"/>
      <c r="Z57" s="168"/>
      <c r="AE57" s="168"/>
      <c r="AF57" s="168"/>
    </row>
    <row r="58" spans="4:36" ht="15" thickBot="1">
      <c r="D58" s="132" t="s">
        <v>544</v>
      </c>
      <c r="E58" s="133"/>
      <c r="F58" s="133"/>
      <c r="G58" s="133"/>
      <c r="H58" s="133"/>
      <c r="I58" s="134"/>
      <c r="K58" s="132" t="s">
        <v>544</v>
      </c>
      <c r="L58" s="133"/>
      <c r="M58" s="133"/>
      <c r="N58" s="164">
        <f>Inputs!D49</f>
        <v>0</v>
      </c>
      <c r="O58" s="133"/>
      <c r="P58" s="134"/>
      <c r="R58" s="132" t="s">
        <v>544</v>
      </c>
      <c r="S58" s="133"/>
      <c r="T58" s="133"/>
      <c r="U58" s="164">
        <f>G58*N58</f>
        <v>0</v>
      </c>
      <c r="V58" s="133"/>
      <c r="W58" s="134"/>
      <c r="Y58" s="168"/>
      <c r="Z58" s="168"/>
      <c r="AE58" s="599">
        <f>SUM(U58:V58)</f>
        <v>0</v>
      </c>
      <c r="AF58" s="599">
        <f>SUM(N58:O58)</f>
        <v>0</v>
      </c>
    </row>
    <row r="59" spans="4:36" ht="15" thickBot="1">
      <c r="Y59" s="170">
        <f>SUM(Y19:Y58)</f>
        <v>91578452.750498757</v>
      </c>
      <c r="Z59" s="170">
        <f>(SUM(Z19:Z24)+SUM(Z26:Z36)+SUM(Z38:Z58))/2</f>
        <v>248566932.99090186</v>
      </c>
      <c r="AE59" s="170">
        <f>SUM(AE19:AE58)</f>
        <v>1264444.1950311097</v>
      </c>
      <c r="AF59" s="170">
        <f>SUM(AF26:AF36)+SUM(AF38:AF58)</f>
        <v>59220688053.745216</v>
      </c>
    </row>
    <row r="60" spans="4:36" ht="15" thickBot="1">
      <c r="AA60" s="90" t="s">
        <v>423</v>
      </c>
      <c r="AB60" s="144"/>
      <c r="AC60" s="144"/>
      <c r="AD60" s="145"/>
      <c r="AG60" s="90" t="s">
        <v>424</v>
      </c>
      <c r="AH60" s="144"/>
      <c r="AI60" s="144"/>
      <c r="AJ60" s="145"/>
    </row>
    <row r="61" spans="4:36" ht="15" thickBot="1">
      <c r="Y61" s="51"/>
      <c r="AA61" s="488"/>
      <c r="AB61" s="554"/>
      <c r="AC61" s="545" t="s">
        <v>433</v>
      </c>
      <c r="AD61" s="545" t="s">
        <v>434</v>
      </c>
      <c r="AG61" s="488"/>
      <c r="AH61" s="555"/>
      <c r="AI61" s="545" t="s">
        <v>433</v>
      </c>
      <c r="AJ61" s="545" t="s">
        <v>434</v>
      </c>
    </row>
    <row r="62" spans="4:36">
      <c r="AA62" s="113" t="s">
        <v>156</v>
      </c>
      <c r="AB62" s="186"/>
      <c r="AC62" s="114"/>
      <c r="AD62" s="115"/>
      <c r="AG62" s="113" t="s">
        <v>156</v>
      </c>
      <c r="AH62" s="186"/>
      <c r="AI62" s="114"/>
      <c r="AJ62" s="115"/>
    </row>
    <row r="63" spans="4:36">
      <c r="AA63" s="86" t="s">
        <v>157</v>
      </c>
      <c r="AB63" s="536" t="s">
        <v>179</v>
      </c>
      <c r="AC63" s="561">
        <v>1</v>
      </c>
      <c r="AD63" s="560">
        <f>1-AD64</f>
        <v>0.99996901144272066</v>
      </c>
      <c r="AE63" s="51"/>
      <c r="AG63" s="86" t="s">
        <v>157</v>
      </c>
      <c r="AH63" s="536" t="s">
        <v>179</v>
      </c>
      <c r="AI63" s="561">
        <v>1</v>
      </c>
      <c r="AJ63" s="560">
        <f>1-AJ64</f>
        <v>0.99995329062248206</v>
      </c>
    </row>
    <row r="64" spans="4:36">
      <c r="AA64" s="86" t="s">
        <v>158</v>
      </c>
      <c r="AB64" s="536" t="s">
        <v>179</v>
      </c>
      <c r="AC64" s="561">
        <f>1-AC63</f>
        <v>0</v>
      </c>
      <c r="AD64" s="560">
        <f>+M11/Y59</f>
        <v>3.0988557279392841E-5</v>
      </c>
      <c r="AG64" s="86" t="s">
        <v>158</v>
      </c>
      <c r="AH64" s="536" t="s">
        <v>179</v>
      </c>
      <c r="AI64" s="561">
        <f>1-AI63</f>
        <v>0</v>
      </c>
      <c r="AJ64" s="560">
        <f>AE33/AE59</f>
        <v>4.6709377517917192E-5</v>
      </c>
    </row>
    <row r="65" spans="27:36">
      <c r="AA65" s="84" t="s">
        <v>413</v>
      </c>
      <c r="AB65" s="535"/>
      <c r="AC65" s="91"/>
      <c r="AD65" s="85"/>
      <c r="AG65" s="84" t="s">
        <v>425</v>
      </c>
      <c r="AH65" s="535"/>
      <c r="AI65" s="91"/>
      <c r="AJ65" s="85"/>
    </row>
    <row r="66" spans="27:36">
      <c r="AA66" s="86" t="s">
        <v>157</v>
      </c>
      <c r="AB66" s="536" t="s">
        <v>138</v>
      </c>
      <c r="AC66" s="550">
        <f>(Z59-Z28)/1000000</f>
        <v>248.55869244295667</v>
      </c>
      <c r="AD66" s="540">
        <f>+Z59/1000000-AD67</f>
        <v>248.55869244295664</v>
      </c>
      <c r="AE66" s="51"/>
      <c r="AG66" s="86" t="s">
        <v>157</v>
      </c>
      <c r="AH66" s="536" t="s">
        <v>399</v>
      </c>
      <c r="AI66" s="550">
        <f>(AF59-AF28)/1000000</f>
        <v>59220.688053745216</v>
      </c>
      <c r="AJ66" s="540">
        <f>+AF59/1000000-AJ67</f>
        <v>59217.680253745217</v>
      </c>
    </row>
    <row r="67" spans="27:36">
      <c r="AA67" s="86" t="s">
        <v>158</v>
      </c>
      <c r="AB67" s="536" t="s">
        <v>138</v>
      </c>
      <c r="AC67" s="550">
        <v>0</v>
      </c>
      <c r="AD67" s="598">
        <f>Z28/1000000</f>
        <v>8.240547945205479E-3</v>
      </c>
      <c r="AG67" s="86" t="s">
        <v>158</v>
      </c>
      <c r="AH67" s="536" t="s">
        <v>399</v>
      </c>
      <c r="AI67" s="550">
        <v>0</v>
      </c>
      <c r="AJ67" s="597">
        <f>AF33/1000000</f>
        <v>3.0077999999999996</v>
      </c>
    </row>
    <row r="68" spans="27:36">
      <c r="AA68" s="84" t="s">
        <v>398</v>
      </c>
      <c r="AB68" s="535"/>
      <c r="AC68" s="91"/>
      <c r="AD68" s="85"/>
      <c r="AG68" s="84" t="s">
        <v>398</v>
      </c>
      <c r="AH68" s="535"/>
      <c r="AI68" s="91"/>
      <c r="AJ68" s="85"/>
    </row>
    <row r="69" spans="27:36">
      <c r="AA69" s="86" t="s">
        <v>157</v>
      </c>
      <c r="AB69" s="536" t="s">
        <v>405</v>
      </c>
      <c r="AC69" s="551">
        <f>AC63/AC66</f>
        <v>4.0231946433717924E-3</v>
      </c>
      <c r="AD69" s="538">
        <f>AD63/AD66</f>
        <v>4.0230699703741402E-3</v>
      </c>
      <c r="AG69" s="86" t="s">
        <v>157</v>
      </c>
      <c r="AH69" s="536" t="s">
        <v>405</v>
      </c>
      <c r="AI69" s="551">
        <f>AI63/AI66</f>
        <v>1.68859909073069E-5</v>
      </c>
      <c r="AJ69" s="538">
        <f>AJ63/AJ66</f>
        <v>1.6886059810815372E-5</v>
      </c>
    </row>
    <row r="70" spans="27:36" ht="15" thickBot="1">
      <c r="AA70" s="88" t="s">
        <v>158</v>
      </c>
      <c r="AB70" s="537" t="s">
        <v>405</v>
      </c>
      <c r="AC70" s="556" t="str">
        <f>IFERROR(AC64/AC67,"-")</f>
        <v>-</v>
      </c>
      <c r="AD70" s="552">
        <f t="shared" ref="AD70" si="30">IFERROR(AD64/AD67,"-")</f>
        <v>3.7604971763343267E-3</v>
      </c>
      <c r="AG70" s="88" t="s">
        <v>158</v>
      </c>
      <c r="AH70" s="537" t="s">
        <v>405</v>
      </c>
      <c r="AI70" s="556" t="str">
        <f>IFERROR(AI64/AI67,"-")</f>
        <v>-</v>
      </c>
      <c r="AJ70" s="552">
        <f t="shared" ref="AJ70" si="31">IFERROR(AJ64/AJ67,"-")</f>
        <v>1.5529416024309196E-5</v>
      </c>
    </row>
    <row r="71" spans="27:36" ht="15" thickBot="1">
      <c r="AA71" s="90" t="s">
        <v>160</v>
      </c>
      <c r="AB71" s="158" t="s">
        <v>179</v>
      </c>
      <c r="AC71" s="553">
        <f>IF(AC70="-",0,2*ABS(AC69-AC70)/(AC69+AC70))</f>
        <v>0</v>
      </c>
      <c r="AD71" s="539">
        <f t="shared" ref="AD71" si="32">IF(AD70="-",0,2*ABS(AD69-AD70)/(AD69+AD70))</f>
        <v>6.7468498463677001E-2</v>
      </c>
      <c r="AG71" s="90" t="s">
        <v>161</v>
      </c>
      <c r="AH71" s="158" t="s">
        <v>179</v>
      </c>
      <c r="AI71" s="553">
        <f>IF(AI70="-",0,2*ABS(AI69-AI70)/(AI69+AI70))</f>
        <v>0</v>
      </c>
      <c r="AJ71" s="539">
        <f t="shared" ref="AJ71" si="33">IF(AJ70="-",0,2*ABS(AJ69-AJ70)/(AJ69+AJ70))</f>
        <v>8.370346271678987E-2</v>
      </c>
    </row>
  </sheetData>
  <pageMargins left="0.7" right="0.7" top="0.75" bottom="0.75" header="0.3" footer="0.3"/>
  <pageSetup paperSize="9" orientation="portrait" r:id="rId1"/>
  <ignoredErrors>
    <ignoredError sqref="T5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24"/>
  <sheetViews>
    <sheetView zoomScale="90" zoomScaleNormal="90" workbookViewId="0">
      <selection activeCell="A21" sqref="A21"/>
    </sheetView>
  </sheetViews>
  <sheetFormatPr defaultRowHeight="14.4"/>
  <cols>
    <col min="1" max="1" width="12.77734375" bestFit="1" customWidth="1"/>
    <col min="2" max="2" width="8.6640625" customWidth="1"/>
    <col min="3" max="13" width="10.6640625" customWidth="1"/>
    <col min="14" max="14" width="5.21875" customWidth="1"/>
    <col min="15" max="15" width="11.109375" bestFit="1" customWidth="1"/>
    <col min="16" max="18" width="8" customWidth="1"/>
    <col min="20" max="20" width="27.44140625" bestFit="1" customWidth="1"/>
    <col min="21" max="21" width="6.88671875" bestFit="1" customWidth="1"/>
    <col min="22" max="22" width="16.109375" bestFit="1" customWidth="1"/>
  </cols>
  <sheetData>
    <row r="1" spans="1:20">
      <c r="A1" s="2" t="s">
        <v>128</v>
      </c>
    </row>
    <row r="2" spans="1:20">
      <c r="A2" s="7"/>
    </row>
    <row r="3" spans="1:20">
      <c r="C3" s="1" t="s">
        <v>18</v>
      </c>
    </row>
    <row r="4" spans="1:20">
      <c r="B4" s="4" t="s">
        <v>21</v>
      </c>
      <c r="C4" s="3" t="s">
        <v>4</v>
      </c>
      <c r="D4" s="3" t="s">
        <v>6</v>
      </c>
      <c r="E4" s="3" t="s">
        <v>11</v>
      </c>
      <c r="F4" s="3" t="s">
        <v>12</v>
      </c>
      <c r="G4" s="3" t="s">
        <v>14</v>
      </c>
      <c r="H4" s="3" t="s">
        <v>15</v>
      </c>
      <c r="I4" s="3" t="s">
        <v>31</v>
      </c>
      <c r="J4" s="3" t="s">
        <v>32</v>
      </c>
      <c r="K4" s="3" t="s">
        <v>33</v>
      </c>
      <c r="L4" s="3" t="s">
        <v>34</v>
      </c>
      <c r="M4" s="3" t="s">
        <v>35</v>
      </c>
      <c r="O4" s="3" t="s">
        <v>20</v>
      </c>
      <c r="P4" s="3" t="s">
        <v>129</v>
      </c>
      <c r="Q4" s="3" t="s">
        <v>130</v>
      </c>
      <c r="R4" s="43" t="s">
        <v>106</v>
      </c>
    </row>
    <row r="5" spans="1:20">
      <c r="A5" s="1" t="s">
        <v>17</v>
      </c>
      <c r="B5" s="3" t="s">
        <v>4</v>
      </c>
      <c r="C5" s="16">
        <f>INDEX(Distances!$C$4:$C$47,MATCH($B5&amp;C$4,Distances!$B$4:$B$47,0))</f>
        <v>0</v>
      </c>
      <c r="D5" s="16">
        <f>INDEX(Distances!$C$4:$C$47,MATCH($B5&amp;D$4,Distances!$B$4:$B$47,0))</f>
        <v>509.03899999999999</v>
      </c>
      <c r="E5" s="16">
        <f>INDEX(Distances!$C$4:$C$47,MATCH($B5&amp;E$4,Distances!$B$4:$B$47,0))</f>
        <v>481.84000000000003</v>
      </c>
      <c r="F5" s="16">
        <f>INDEX(Distances!$C$4:$C$47,MATCH($B5&amp;F$4,Distances!$B$4:$B$47,0))</f>
        <v>254.26299999999998</v>
      </c>
      <c r="G5" s="16">
        <f>INDEX(Distances!$C$4:$C$47,MATCH($B5&amp;G$4,Distances!$B$4:$B$47,0))</f>
        <v>416.85699999999997</v>
      </c>
      <c r="H5" s="16">
        <f>INDEX(Distances!$C$4:$C$47,MATCH($B5&amp;H$4,Distances!$B$4:$B$47,0))</f>
        <v>434.01900000000001</v>
      </c>
      <c r="I5" s="16">
        <f>INDEX(Distances!$C$4:$C$47,MATCH($B5&amp;I$4,Distances!$B$4:$B$47,0))</f>
        <v>290.23699999999997</v>
      </c>
      <c r="J5" s="16">
        <f>INDEX(Distances!$C$4:$C$47,MATCH($B5&amp;J$4,Distances!$B$4:$B$47,0))</f>
        <v>148.19899999999998</v>
      </c>
      <c r="K5" s="16">
        <f>INDEX(Distances!$C$4:$C$47,MATCH($B5&amp;K$4,Distances!$B$4:$B$47,0))</f>
        <v>477.80899999999997</v>
      </c>
      <c r="L5" s="16">
        <f>INDEX(Distances!$C$4:$C$47,MATCH($B5&amp;L$4,Distances!$B$4:$B$47,0))</f>
        <v>441.00900000000001</v>
      </c>
      <c r="M5" s="16">
        <f>INDEX(Distances!$C$4:$C$47,MATCH($B5&amp;M$4,Distances!$B$4:$B$47,0))</f>
        <v>274.86</v>
      </c>
      <c r="O5" s="20">
        <f>INDEX(List!$F$4:$F$14,MATCH(B5,List!$B$4:$B$14,0))*1000</f>
        <v>142061928</v>
      </c>
      <c r="P5" s="54">
        <f>SUMPRODUCT(C5:M5,C$10:M$10)/SUMIFS(C$10:M$10,C5:M5,"&gt;0")</f>
        <v>359.34863430998303</v>
      </c>
      <c r="Q5" s="55">
        <f>O5*P5/SUMPRODUCT(O$5:O$8,P$5:P$8)</f>
        <v>0.3661555483789759</v>
      </c>
      <c r="R5" s="26">
        <f>IFERROR(Q5/O5*$A$17*$A$16,0)</f>
        <v>9.3172178026538321E-2</v>
      </c>
    </row>
    <row r="6" spans="1:20">
      <c r="B6" s="3" t="s">
        <v>6</v>
      </c>
      <c r="C6" s="16">
        <f>INDEX(Distances!$C$4:$C$47,MATCH($B6&amp;C$4,Distances!$B$4:$B$47,0))</f>
        <v>509.03899999999999</v>
      </c>
      <c r="D6" s="16">
        <f>INDEX(Distances!$C$4:$C$47,MATCH($B6&amp;D$4,Distances!$B$4:$B$47,0))</f>
        <v>0</v>
      </c>
      <c r="E6" s="16">
        <f>INDEX(Distances!$C$4:$C$47,MATCH($B6&amp;E$4,Distances!$B$4:$B$47,0))</f>
        <v>549.45300000000009</v>
      </c>
      <c r="F6" s="16">
        <f>INDEX(Distances!$C$4:$C$47,MATCH($B6&amp;F$4,Distances!$B$4:$B$47,0))</f>
        <v>321.87600000000003</v>
      </c>
      <c r="G6" s="16">
        <f>INDEX(Distances!$C$4:$C$47,MATCH($B6&amp;G$4,Distances!$B$4:$B$47,0))</f>
        <v>484.47</v>
      </c>
      <c r="H6" s="16">
        <f>INDEX(Distances!$C$4:$C$47,MATCH($B6&amp;H$4,Distances!$B$4:$B$47,0))</f>
        <v>190.702</v>
      </c>
      <c r="I6" s="16">
        <f>INDEX(Distances!$C$4:$C$47,MATCH($B6&amp;I$4,Distances!$B$4:$B$47,0))</f>
        <v>357.85</v>
      </c>
      <c r="J6" s="16">
        <f>INDEX(Distances!$C$4:$C$47,MATCH($B6&amp;J$4,Distances!$B$4:$B$47,0))</f>
        <v>370.96000000000004</v>
      </c>
      <c r="K6" s="16">
        <f>INDEX(Distances!$C$4:$C$47,MATCH($B6&amp;K$4,Distances!$B$4:$B$47,0))</f>
        <v>71.706000000000003</v>
      </c>
      <c r="L6" s="16">
        <f>INDEX(Distances!$C$4:$C$47,MATCH($B6&amp;L$4,Distances!$B$4:$B$47,0))</f>
        <v>508.62200000000007</v>
      </c>
      <c r="M6" s="16">
        <f>INDEX(Distances!$C$4:$C$47,MATCH($B6&amp;M$4,Distances!$B$4:$B$47,0))</f>
        <v>334.01</v>
      </c>
      <c r="O6" s="20">
        <f>INDEX(List!$F$4:$F$14,MATCH(B6,List!$B$4:$B$14,0))*1000</f>
        <v>19167987</v>
      </c>
      <c r="P6" s="54">
        <f>SUMPRODUCT(C6:M6,C$10:M$10)/SUMIFS(C$10:M$10,C6:M6,"&gt;0")</f>
        <v>350.23354382522007</v>
      </c>
      <c r="Q6" s="55">
        <f t="shared" ref="Q6:Q8" si="0">O6*P6/SUMPRODUCT(O$5:O$8,P$5:P$8)</f>
        <v>4.815109424639917E-2</v>
      </c>
      <c r="R6" s="26">
        <f>IFERROR(Q6/O6*$A$17*$A$16,0)</f>
        <v>9.0808810666021963E-2</v>
      </c>
    </row>
    <row r="7" spans="1:20">
      <c r="B7" s="3" t="s">
        <v>11</v>
      </c>
      <c r="C7" s="16">
        <f>INDEX(Distances!$C$4:$C$47,MATCH($B7&amp;C$4,Distances!$B$4:$B$47,0))</f>
        <v>481.84000000000003</v>
      </c>
      <c r="D7" s="16">
        <f>INDEX(Distances!$C$4:$C$47,MATCH($B7&amp;D$4,Distances!$B$4:$B$47,0))</f>
        <v>549.45300000000009</v>
      </c>
      <c r="E7" s="16">
        <f>INDEX(Distances!$C$4:$C$47,MATCH($B7&amp;E$4,Distances!$B$4:$B$47,0))</f>
        <v>0</v>
      </c>
      <c r="F7" s="16">
        <f>INDEX(Distances!$C$4:$C$47,MATCH($B7&amp;F$4,Distances!$B$4:$B$47,0))</f>
        <v>294.67700000000002</v>
      </c>
      <c r="G7" s="16">
        <f>INDEX(Distances!$C$4:$C$47,MATCH($B7&amp;G$4,Distances!$B$4:$B$47,0))</f>
        <v>276.803</v>
      </c>
      <c r="H7" s="16">
        <f>INDEX(Distances!$C$4:$C$47,MATCH($B7&amp;H$4,Distances!$B$4:$B$47,0))</f>
        <v>474.43299999999999</v>
      </c>
      <c r="I7" s="16">
        <f>INDEX(Distances!$C$4:$C$47,MATCH($B7&amp;I$4,Distances!$B$4:$B$47,0))</f>
        <v>330.65100000000001</v>
      </c>
      <c r="J7" s="16">
        <f>INDEX(Distances!$C$4:$C$47,MATCH($B7&amp;J$4,Distances!$B$4:$B$47,0))</f>
        <v>343.76099999999997</v>
      </c>
      <c r="K7" s="16">
        <f>INDEX(Distances!$C$4:$C$47,MATCH($B7&amp;K$4,Distances!$B$4:$B$47,0))</f>
        <v>518.22300000000007</v>
      </c>
      <c r="L7" s="16">
        <f>INDEX(Distances!$C$4:$C$47,MATCH($B7&amp;L$4,Distances!$B$4:$B$47,0))</f>
        <v>51.051000000000002</v>
      </c>
      <c r="M7" s="16">
        <f>INDEX(Distances!$C$4:$C$47,MATCH($B7&amp;M$4,Distances!$B$4:$B$47,0))</f>
        <v>462.79100000000005</v>
      </c>
      <c r="O7" s="20">
        <f>INDEX(List!$F$4:$F$14,MATCH(B7,List!$B$4:$B$14,0))*1000</f>
        <v>199063256</v>
      </c>
      <c r="P7" s="54">
        <f>SUMPRODUCT(C7:M7,C$10:M$10)/SUMIFS(C$10:M$10,C7:M7,"&gt;0")</f>
        <v>342.32012444390466</v>
      </c>
      <c r="Q7" s="55">
        <f t="shared" si="0"/>
        <v>0.48875976919297126</v>
      </c>
      <c r="R7" s="26">
        <f>IFERROR(Q7/O7*$A$17*$A$16,0)</f>
        <v>8.8757013472440444E-2</v>
      </c>
    </row>
    <row r="8" spans="1:20">
      <c r="B8" s="3" t="s">
        <v>12</v>
      </c>
      <c r="C8" s="16">
        <f>INDEX(Distances!$C$4:$C$47,MATCH($B8&amp;C$4,Distances!$B$4:$B$47,0))</f>
        <v>254.26299999999998</v>
      </c>
      <c r="D8" s="16">
        <f>INDEX(Distances!$C$4:$C$47,MATCH($B8&amp;D$4,Distances!$B$4:$B$47,0))</f>
        <v>321.87600000000003</v>
      </c>
      <c r="E8" s="16">
        <f>INDEX(Distances!$C$4:$C$47,MATCH($B8&amp;E$4,Distances!$B$4:$B$47,0))</f>
        <v>294.67700000000002</v>
      </c>
      <c r="F8" s="16">
        <f>INDEX(Distances!$C$4:$C$47,MATCH($B8&amp;F$4,Distances!$B$4:$B$47,0))</f>
        <v>0</v>
      </c>
      <c r="G8" s="16">
        <f>INDEX(Distances!$C$4:$C$47,MATCH($B8&amp;G$4,Distances!$B$4:$B$47,0))</f>
        <v>229.69400000000002</v>
      </c>
      <c r="H8" s="16">
        <f>INDEX(Distances!$C$4:$C$47,MATCH($B8&amp;H$4,Distances!$B$4:$B$47,0))</f>
        <v>246.85599999999999</v>
      </c>
      <c r="I8" s="16">
        <f>INDEX(Distances!$C$4:$C$47,MATCH($B8&amp;I$4,Distances!$B$4:$B$47,0))</f>
        <v>35.974000000000004</v>
      </c>
      <c r="J8" s="16">
        <f>INDEX(Distances!$C$4:$C$47,MATCH($B8&amp;J$4,Distances!$B$4:$B$47,0))</f>
        <v>116.184</v>
      </c>
      <c r="K8" s="16">
        <f>INDEX(Distances!$C$4:$C$47,MATCH($B8&amp;K$4,Distances!$B$4:$B$47,0))</f>
        <v>290.64600000000002</v>
      </c>
      <c r="L8" s="16">
        <f>INDEX(Distances!$C$4:$C$47,MATCH($B8&amp;L$4,Distances!$B$4:$B$47,0))</f>
        <v>253.846</v>
      </c>
      <c r="M8" s="16">
        <f>INDEX(Distances!$C$4:$C$47,MATCH($B8&amp;M$4,Distances!$B$4:$B$47,0))</f>
        <v>235.214</v>
      </c>
      <c r="O8" s="20">
        <f>INDEX(List!$F$4:$F$14,MATCH(B8,List!$B$4:$B$14,0))*1000</f>
        <v>72755519</v>
      </c>
      <c r="P8" s="54">
        <f>SUMPRODUCT(C8:M8,C$10:M$10)/SUMIFS(C$10:M$10,C8:M8,"&gt;0")</f>
        <v>185.7532537674974</v>
      </c>
      <c r="Q8" s="56">
        <f t="shared" si="0"/>
        <v>9.6933588181653693E-2</v>
      </c>
      <c r="R8" s="26">
        <f>IFERROR(Q8/O8*$A$17*$A$16,0)</f>
        <v>4.816224016620177E-2</v>
      </c>
    </row>
    <row r="10" spans="1:20">
      <c r="B10" s="3" t="s">
        <v>19</v>
      </c>
      <c r="C10" s="20">
        <f>INDEX(List!$G$4:$G$14,MATCH(C4,List!$B$4:$B$14,0))*1000</f>
        <v>0</v>
      </c>
      <c r="D10" s="20">
        <f>INDEX(List!$G$4:$G$14,MATCH(D4,List!$B$4:$B$14,0))*1000</f>
        <v>16184186.1160981</v>
      </c>
      <c r="E10" s="20">
        <f>INDEX(List!$G$4:$G$14,MATCH(E4,List!$B$4:$B$14,0))*1000</f>
        <v>0</v>
      </c>
      <c r="F10" s="20">
        <f>INDEX(List!$G$4:$G$14,MATCH(F4,List!$B$4:$B$14,0))*1000</f>
        <v>28083000</v>
      </c>
      <c r="G10" s="20">
        <f>INDEX(List!$G$4:$G$14,MATCH(G4,List!$B$4:$B$14,0))*1000</f>
        <v>66304565</v>
      </c>
      <c r="H10" s="20">
        <f>INDEX(List!$G$4:$G$14,MATCH(H4,List!$B$4:$B$14,0))*1000</f>
        <v>79306360</v>
      </c>
      <c r="I10" s="20">
        <f>INDEX(List!$G$4:$G$14,MATCH(I4,List!$B$4:$B$14,0))*1000</f>
        <v>68813757</v>
      </c>
      <c r="J10" s="20">
        <f>INDEX(List!$G$4:$G$14,MATCH(J4,List!$B$4:$B$14,0))*1000</f>
        <v>33836026</v>
      </c>
      <c r="K10" s="20">
        <f>INDEX(List!$G$4:$G$14,MATCH(K4,List!$B$4:$B$14,0))*1000</f>
        <v>4768154</v>
      </c>
      <c r="L10" s="20">
        <f>INDEX(List!$G$4:$G$14,MATCH(L4,List!$B$4:$B$14,0))*1000</f>
        <v>29721968</v>
      </c>
      <c r="M10" s="20">
        <f>INDEX(List!$G$4:$G$14,MATCH(M4,List!$B$4:$B$14,0))*1000</f>
        <v>3527661</v>
      </c>
      <c r="O10" s="51"/>
    </row>
    <row r="11" spans="1:20">
      <c r="B11" s="43" t="s">
        <v>131</v>
      </c>
      <c r="C11" s="54">
        <f>SUMPRODUCT(C5:C8,$O5:$O8)/SUMIFS($O5:$O8,C5:C8,"&gt;0")</f>
        <v>426.73050787454724</v>
      </c>
      <c r="D11" s="54">
        <f t="shared" ref="D11:L11" si="1">SUMPRODUCT(D5:D8,$O5:$O8)/SUMIFS($O5:$O8,D5:D8,"&gt;0")</f>
        <v>495.57570312671487</v>
      </c>
      <c r="E11" s="54">
        <f t="shared" si="1"/>
        <v>429.18229440296705</v>
      </c>
      <c r="F11" s="54">
        <f t="shared" si="1"/>
        <v>280.18896331229104</v>
      </c>
      <c r="G11" s="54">
        <f t="shared" si="1"/>
        <v>324.02507998336171</v>
      </c>
      <c r="H11" s="54">
        <f t="shared" si="1"/>
        <v>410.3817136997182</v>
      </c>
      <c r="I11" s="54">
        <f t="shared" si="1"/>
        <v>269.08905704124862</v>
      </c>
      <c r="J11" s="54">
        <f t="shared" si="1"/>
        <v>242.57596366474172</v>
      </c>
      <c r="K11" s="54">
        <f t="shared" si="1"/>
        <v>446.96633471154485</v>
      </c>
      <c r="L11" s="54">
        <f t="shared" si="1"/>
        <v>233.30153578664795</v>
      </c>
      <c r="M11" s="54">
        <f>SUMPRODUCT(M5:M8,$O5:$O8)/SUMIFS($O5:$O8,M5:M8,"&gt;0")</f>
        <v>357.20519284219984</v>
      </c>
      <c r="O11" s="51"/>
    </row>
    <row r="12" spans="1:20">
      <c r="B12" s="3" t="s">
        <v>132</v>
      </c>
      <c r="C12" s="55">
        <f>C10*C11/SUMPRODUCT($C10:$M10,$C11:$M11)</f>
        <v>0</v>
      </c>
      <c r="D12" s="55">
        <f t="shared" ref="D12:L12" si="2">D10*D11/SUMPRODUCT($C10:$M10,$C11:$M11)</f>
        <v>7.49791632530422E-2</v>
      </c>
      <c r="E12" s="55">
        <f t="shared" si="2"/>
        <v>0</v>
      </c>
      <c r="F12" s="55">
        <f t="shared" si="2"/>
        <v>7.3558733623612038E-2</v>
      </c>
      <c r="G12" s="55">
        <f t="shared" si="2"/>
        <v>0.20084534762816972</v>
      </c>
      <c r="H12" s="55">
        <f t="shared" si="2"/>
        <v>0.3042536082370112</v>
      </c>
      <c r="I12" s="55">
        <f t="shared" si="2"/>
        <v>0.17310556343614092</v>
      </c>
      <c r="J12" s="55">
        <f t="shared" si="2"/>
        <v>7.6730289170381882E-2</v>
      </c>
      <c r="K12" s="55">
        <f t="shared" si="2"/>
        <v>1.9923462040813349E-2</v>
      </c>
      <c r="L12" s="55">
        <f t="shared" si="2"/>
        <v>6.4823858740598261E-2</v>
      </c>
      <c r="M12" s="55">
        <f>M10*M11/SUMPRODUCT($C10:$M10,$C11:$M11)</f>
        <v>1.1779973870230286E-2</v>
      </c>
    </row>
    <row r="13" spans="1:20">
      <c r="B13" s="43" t="s">
        <v>105</v>
      </c>
      <c r="C13" s="26">
        <f t="shared" ref="C13:M13" si="3">IFERROR(C12*(1-$A$17)*$A$16/C10,0)</f>
        <v>0</v>
      </c>
      <c r="D13" s="26">
        <f t="shared" si="3"/>
        <v>0.16747425642297084</v>
      </c>
      <c r="E13" s="26">
        <f t="shared" si="3"/>
        <v>0</v>
      </c>
      <c r="F13" s="26">
        <f t="shared" si="3"/>
        <v>9.4686720903770338E-2</v>
      </c>
      <c r="G13" s="26">
        <f t="shared" si="3"/>
        <v>0.1095006453912689</v>
      </c>
      <c r="H13" s="26">
        <f t="shared" si="3"/>
        <v>0.13868390221275942</v>
      </c>
      <c r="I13" s="26">
        <f t="shared" si="3"/>
        <v>9.0935631943236339E-2</v>
      </c>
      <c r="J13" s="26">
        <f t="shared" si="3"/>
        <v>8.1975829090335073E-2</v>
      </c>
      <c r="K13" s="26">
        <f t="shared" si="3"/>
        <v>0.15104726498824489</v>
      </c>
      <c r="L13" s="26">
        <f t="shared" si="3"/>
        <v>7.8841640099969898E-2</v>
      </c>
      <c r="M13" s="26">
        <f t="shared" si="3"/>
        <v>0.12071349278068851</v>
      </c>
    </row>
    <row r="14" spans="1:20">
      <c r="O14" s="23"/>
    </row>
    <row r="15" spans="1:20">
      <c r="O15" s="23"/>
    </row>
    <row r="16" spans="1:20">
      <c r="A16" s="57">
        <f>RPM!B3</f>
        <v>72298340.44579111</v>
      </c>
      <c r="B16" t="s">
        <v>123</v>
      </c>
      <c r="G16" s="25"/>
      <c r="O16" s="24"/>
      <c r="T16" s="34" t="s">
        <v>133</v>
      </c>
    </row>
    <row r="17" spans="1:23">
      <c r="A17" s="58">
        <v>0.5</v>
      </c>
      <c r="B17" t="s">
        <v>134</v>
      </c>
      <c r="G17" s="25"/>
      <c r="O17" s="24"/>
      <c r="T17" s="6" t="s">
        <v>135</v>
      </c>
      <c r="U17" s="32"/>
      <c r="V17" s="32" t="s">
        <v>112</v>
      </c>
    </row>
    <row r="18" spans="1:23">
      <c r="O18" s="24"/>
      <c r="T18" s="32" t="s">
        <v>2</v>
      </c>
      <c r="U18" s="32" t="s">
        <v>107</v>
      </c>
      <c r="V18" s="33">
        <f>+A17*SUM(Q5:Q6)*A16/SUM(O5:O6)</f>
        <v>9.2891206627138886E-2</v>
      </c>
      <c r="W18" s="25"/>
    </row>
    <row r="19" spans="1:23">
      <c r="A19" s="23" t="s">
        <v>111</v>
      </c>
      <c r="O19" s="24"/>
      <c r="T19" s="32"/>
      <c r="U19" s="32" t="s">
        <v>549</v>
      </c>
      <c r="V19" s="33">
        <f>R7</f>
        <v>8.8757013472440444E-2</v>
      </c>
      <c r="W19" s="25"/>
    </row>
    <row r="20" spans="1:23">
      <c r="A20" t="s">
        <v>22</v>
      </c>
      <c r="B20" t="s">
        <v>21</v>
      </c>
      <c r="O20" s="24"/>
      <c r="T20" s="32"/>
      <c r="U20" s="32" t="s">
        <v>436</v>
      </c>
      <c r="V20" s="33">
        <f>+R8</f>
        <v>4.816224016620177E-2</v>
      </c>
      <c r="W20" s="25"/>
    </row>
    <row r="21" spans="1:23">
      <c r="A21" s="24" t="s">
        <v>109</v>
      </c>
      <c r="B21" t="s">
        <v>137</v>
      </c>
      <c r="O21" s="24"/>
      <c r="T21" s="32" t="s">
        <v>3</v>
      </c>
      <c r="U21" s="32" t="s">
        <v>107</v>
      </c>
      <c r="V21" s="33">
        <f>(1-A17)*SUM(C12:D12)*A16/SUM(C10:D10)</f>
        <v>0.16747425642297084</v>
      </c>
      <c r="W21" s="25"/>
    </row>
    <row r="22" spans="1:23">
      <c r="A22" s="24" t="s">
        <v>110</v>
      </c>
      <c r="B22" t="s">
        <v>136</v>
      </c>
      <c r="O22" s="24"/>
      <c r="T22" s="32"/>
      <c r="U22" s="32" t="s">
        <v>549</v>
      </c>
      <c r="V22" s="33">
        <f>+E13</f>
        <v>0</v>
      </c>
      <c r="W22" s="25"/>
    </row>
    <row r="23" spans="1:23">
      <c r="T23" s="32"/>
      <c r="U23" s="32" t="s">
        <v>436</v>
      </c>
      <c r="V23" s="33">
        <f>+F13</f>
        <v>9.4686720903770338E-2</v>
      </c>
      <c r="W23" s="25"/>
    </row>
    <row r="24" spans="1:23">
      <c r="T24" s="32"/>
      <c r="U24" s="32" t="s">
        <v>176</v>
      </c>
      <c r="V24" s="33">
        <f>(1-A17)*SUM(G12:M12)*A16/SUM(G10:M10)</f>
        <v>0.10751645503172109</v>
      </c>
      <c r="W24" s="2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89"/>
  <sheetViews>
    <sheetView showGridLines="0" topLeftCell="A39" zoomScale="70" zoomScaleNormal="70" workbookViewId="0">
      <selection activeCell="D30" sqref="D30:P69"/>
    </sheetView>
  </sheetViews>
  <sheetFormatPr defaultRowHeight="14.4"/>
  <cols>
    <col min="1" max="1" width="29.77734375" customWidth="1"/>
    <col min="2" max="2" width="27.77734375" bestFit="1" customWidth="1"/>
    <col min="3" max="3" width="21.5546875" bestFit="1" customWidth="1"/>
    <col min="4" max="4" width="28.33203125" bestFit="1" customWidth="1"/>
    <col min="5" max="9" width="19.44140625" customWidth="1"/>
    <col min="10" max="10" width="3.88671875" customWidth="1"/>
    <col min="11" max="11" width="32.33203125" bestFit="1" customWidth="1"/>
    <col min="12" max="16" width="19.44140625" customWidth="1"/>
    <col min="17" max="17" width="4.44140625" customWidth="1"/>
    <col min="18" max="18" width="29" bestFit="1" customWidth="1"/>
    <col min="19" max="19" width="29" customWidth="1"/>
    <col min="20" max="20" width="11.77734375" customWidth="1"/>
    <col min="21" max="21" width="27" bestFit="1" customWidth="1"/>
    <col min="22" max="22" width="14.77734375" customWidth="1"/>
    <col min="23" max="23" width="20.88671875" bestFit="1" customWidth="1"/>
    <col min="25" max="25" width="13.109375" bestFit="1" customWidth="1"/>
  </cols>
  <sheetData>
    <row r="1" spans="1:3" ht="15" thickBot="1">
      <c r="A1" s="2" t="s">
        <v>145</v>
      </c>
    </row>
    <row r="2" spans="1:3" ht="15" thickBot="1">
      <c r="A2" s="90" t="s">
        <v>171</v>
      </c>
      <c r="B2" s="144"/>
      <c r="C2" s="145"/>
    </row>
    <row r="3" spans="1:3">
      <c r="A3" s="113" t="s">
        <v>114</v>
      </c>
      <c r="B3" s="114"/>
      <c r="C3" s="115"/>
    </row>
    <row r="4" spans="1:3">
      <c r="A4" s="120"/>
      <c r="B4" s="80"/>
      <c r="C4" s="122" t="s">
        <v>174</v>
      </c>
    </row>
    <row r="5" spans="1:3">
      <c r="A5" s="81" t="s">
        <v>2</v>
      </c>
      <c r="B5" s="66" t="s">
        <v>107</v>
      </c>
      <c r="C5" s="116">
        <f>+CWD!V18</f>
        <v>9.2891206627138886E-2</v>
      </c>
    </row>
    <row r="6" spans="1:3">
      <c r="A6" s="81"/>
      <c r="B6" s="66" t="s">
        <v>172</v>
      </c>
      <c r="C6" s="116">
        <f>+CWD!V19</f>
        <v>8.8757013472440444E-2</v>
      </c>
    </row>
    <row r="7" spans="1:3">
      <c r="A7" s="118"/>
      <c r="B7" s="67" t="s">
        <v>173</v>
      </c>
      <c r="C7" s="119">
        <f>+CWD!V20</f>
        <v>4.816224016620177E-2</v>
      </c>
    </row>
    <row r="8" spans="1:3">
      <c r="A8" s="81" t="s">
        <v>3</v>
      </c>
      <c r="B8" s="66" t="s">
        <v>107</v>
      </c>
      <c r="C8" s="116">
        <f>+CWD!V21</f>
        <v>0.16747425642297084</v>
      </c>
    </row>
    <row r="9" spans="1:3">
      <c r="A9" s="81"/>
      <c r="B9" s="66" t="s">
        <v>172</v>
      </c>
      <c r="C9" s="116">
        <f>+CWD!V22</f>
        <v>0</v>
      </c>
    </row>
    <row r="10" spans="1:3">
      <c r="A10" s="81"/>
      <c r="B10" s="66" t="s">
        <v>173</v>
      </c>
      <c r="C10" s="116">
        <f>+CWD!V23</f>
        <v>9.4686720903770338E-2</v>
      </c>
    </row>
    <row r="11" spans="1:3" ht="15" thickBot="1">
      <c r="A11" s="82"/>
      <c r="B11" s="83" t="s">
        <v>181</v>
      </c>
      <c r="C11" s="117">
        <f>+CWD!V24</f>
        <v>0.10751645503172109</v>
      </c>
    </row>
    <row r="12" spans="1:3" ht="15" thickBot="1">
      <c r="A12" s="90" t="s">
        <v>177</v>
      </c>
      <c r="B12" s="144"/>
      <c r="C12" s="145"/>
    </row>
    <row r="13" spans="1:3">
      <c r="A13" s="113" t="s">
        <v>178</v>
      </c>
      <c r="B13" s="114"/>
      <c r="C13" s="115"/>
    </row>
    <row r="14" spans="1:3">
      <c r="A14" s="120"/>
      <c r="B14" s="80"/>
      <c r="C14" s="122" t="s">
        <v>179</v>
      </c>
    </row>
    <row r="15" spans="1:3">
      <c r="A15" s="81" t="s">
        <v>2</v>
      </c>
      <c r="B15" s="66" t="s">
        <v>172</v>
      </c>
      <c r="C15" s="217">
        <f>Data_a!C6</f>
        <v>0</v>
      </c>
    </row>
    <row r="16" spans="1:3">
      <c r="A16" s="118"/>
      <c r="B16" s="67" t="s">
        <v>173</v>
      </c>
      <c r="C16" s="218">
        <f>Data_a!C7</f>
        <v>0.95</v>
      </c>
    </row>
    <row r="17" spans="1:19" ht="15" thickBot="1">
      <c r="A17" s="82" t="s">
        <v>3</v>
      </c>
      <c r="B17" s="83" t="s">
        <v>173</v>
      </c>
      <c r="C17" s="219">
        <f>Data_a!C8</f>
        <v>0.95</v>
      </c>
    </row>
    <row r="18" spans="1:19">
      <c r="A18" s="113" t="s">
        <v>201</v>
      </c>
      <c r="B18" s="114"/>
      <c r="C18" s="115"/>
    </row>
    <row r="19" spans="1:19">
      <c r="A19" s="120"/>
      <c r="B19" s="80"/>
      <c r="C19" s="122" t="s">
        <v>174</v>
      </c>
    </row>
    <row r="20" spans="1:19">
      <c r="A20" s="81" t="s">
        <v>2</v>
      </c>
      <c r="B20" s="66" t="s">
        <v>107</v>
      </c>
      <c r="C20" s="116">
        <f>C5</f>
        <v>9.2891206627138886E-2</v>
      </c>
    </row>
    <row r="21" spans="1:19">
      <c r="A21" s="81"/>
      <c r="B21" s="66" t="s">
        <v>172</v>
      </c>
      <c r="C21" s="116">
        <f>C6*(1-C15)</f>
        <v>8.8757013472440444E-2</v>
      </c>
    </row>
    <row r="22" spans="1:19">
      <c r="A22" s="118"/>
      <c r="B22" s="67" t="s">
        <v>173</v>
      </c>
      <c r="C22" s="119">
        <f>C7*(1-C16)</f>
        <v>2.4081120083100905E-3</v>
      </c>
    </row>
    <row r="23" spans="1:19">
      <c r="A23" s="81" t="s">
        <v>3</v>
      </c>
      <c r="B23" s="66" t="s">
        <v>107</v>
      </c>
      <c r="C23" s="116">
        <f t="shared" ref="C23:C26" si="0">C8</f>
        <v>0.16747425642297084</v>
      </c>
    </row>
    <row r="24" spans="1:19">
      <c r="A24" s="81"/>
      <c r="B24" s="66" t="s">
        <v>172</v>
      </c>
      <c r="C24" s="116">
        <f t="shared" si="0"/>
        <v>0</v>
      </c>
    </row>
    <row r="25" spans="1:19">
      <c r="A25" s="81"/>
      <c r="B25" s="66" t="s">
        <v>173</v>
      </c>
      <c r="C25" s="116">
        <f>C10*(1-C17)</f>
        <v>4.7343360451885209E-3</v>
      </c>
    </row>
    <row r="26" spans="1:19" ht="15" thickBot="1">
      <c r="A26" s="82"/>
      <c r="B26" s="83" t="s">
        <v>181</v>
      </c>
      <c r="C26" s="117">
        <f t="shared" si="0"/>
        <v>0.10751645503172109</v>
      </c>
    </row>
    <row r="27" spans="1:19" ht="15" thickBot="1">
      <c r="D27" s="90" t="s">
        <v>180</v>
      </c>
      <c r="E27" s="144"/>
      <c r="F27" s="144"/>
      <c r="G27" s="144"/>
      <c r="H27" s="144"/>
      <c r="I27" s="144"/>
      <c r="J27" s="144"/>
      <c r="K27" s="158"/>
      <c r="L27" s="144"/>
      <c r="M27" s="144"/>
      <c r="N27" s="144"/>
      <c r="O27" s="144"/>
      <c r="P27" s="144"/>
      <c r="Q27" s="144"/>
      <c r="R27" s="145"/>
      <c r="S27" s="145"/>
    </row>
    <row r="28" spans="1:19" s="70" customFormat="1" ht="15" thickBot="1">
      <c r="A28" s="112"/>
      <c r="D28" s="137" t="s">
        <v>183</v>
      </c>
      <c r="E28" s="138"/>
      <c r="F28" s="138"/>
      <c r="G28" s="138"/>
      <c r="H28" s="138"/>
      <c r="I28" s="139"/>
      <c r="K28" s="137" t="s">
        <v>188</v>
      </c>
      <c r="L28" s="138"/>
      <c r="M28" s="138"/>
      <c r="N28" s="138"/>
      <c r="O28" s="138"/>
      <c r="P28" s="139"/>
      <c r="R28" s="171" t="s">
        <v>373</v>
      </c>
      <c r="S28" s="171" t="s">
        <v>374</v>
      </c>
    </row>
    <row r="29" spans="1:19" s="70" customFormat="1" ht="15" thickBot="1">
      <c r="A29" s="112"/>
      <c r="D29" s="94" t="s">
        <v>162</v>
      </c>
      <c r="E29" s="142"/>
      <c r="F29" s="142"/>
      <c r="G29" s="142"/>
      <c r="H29" s="142"/>
      <c r="I29" s="143"/>
      <c r="K29" s="94" t="s">
        <v>162</v>
      </c>
      <c r="L29" s="482"/>
      <c r="M29" s="482"/>
      <c r="N29" s="482"/>
      <c r="O29" s="482"/>
      <c r="P29" s="483"/>
      <c r="R29" s="165" t="s">
        <v>162</v>
      </c>
      <c r="S29" s="165" t="s">
        <v>162</v>
      </c>
    </row>
    <row r="30" spans="1:19">
      <c r="D30" s="160"/>
      <c r="E30" s="161" t="s">
        <v>190</v>
      </c>
      <c r="F30" s="161" t="s">
        <v>192</v>
      </c>
      <c r="G30" s="161" t="s">
        <v>191</v>
      </c>
      <c r="H30" s="161" t="s">
        <v>193</v>
      </c>
      <c r="I30" s="162" t="s">
        <v>194</v>
      </c>
      <c r="K30" s="160"/>
      <c r="L30" s="161" t="s">
        <v>190</v>
      </c>
      <c r="M30" s="161" t="s">
        <v>192</v>
      </c>
      <c r="N30" s="161" t="s">
        <v>191</v>
      </c>
      <c r="O30" s="161" t="s">
        <v>193</v>
      </c>
      <c r="P30" s="162" t="s">
        <v>194</v>
      </c>
      <c r="R30" s="167"/>
      <c r="S30" s="167"/>
    </row>
    <row r="31" spans="1:19">
      <c r="D31" s="127"/>
      <c r="E31" s="96" t="s">
        <v>174</v>
      </c>
      <c r="F31" s="96" t="s">
        <v>174</v>
      </c>
      <c r="G31" s="96" t="s">
        <v>174</v>
      </c>
      <c r="H31" s="96" t="s">
        <v>174</v>
      </c>
      <c r="I31" s="128" t="s">
        <v>174</v>
      </c>
      <c r="K31" s="127"/>
      <c r="L31" s="96" t="s">
        <v>142</v>
      </c>
      <c r="M31" s="96" t="s">
        <v>142</v>
      </c>
      <c r="N31" s="96" t="s">
        <v>142</v>
      </c>
      <c r="O31" s="96" t="s">
        <v>142</v>
      </c>
      <c r="P31" s="128" t="s">
        <v>142</v>
      </c>
      <c r="R31" s="168"/>
      <c r="S31" s="168"/>
    </row>
    <row r="32" spans="1:19">
      <c r="D32" s="129" t="s">
        <v>107</v>
      </c>
      <c r="E32" s="135">
        <f>$C20*Data_b!B39</f>
        <v>9.2891206627138886E-2</v>
      </c>
      <c r="F32" s="135">
        <f>$C20*Data_b!C39</f>
        <v>0.12075856861528056</v>
      </c>
      <c r="G32" s="135">
        <f>$C20*Data_b!D39</f>
        <v>0.13933680994070832</v>
      </c>
      <c r="H32" s="135">
        <f>$C20*Data_b!E39</f>
        <v>0.18578241325427777</v>
      </c>
      <c r="I32" s="136">
        <f>$C20*Data_b!F39</f>
        <v>0.20436065457970556</v>
      </c>
      <c r="K32" s="129" t="s">
        <v>107</v>
      </c>
      <c r="L32" s="159">
        <f>Inputs!B12*E32</f>
        <v>9387165.2528680284</v>
      </c>
      <c r="M32" s="159">
        <f>Inputs!C12*F32</f>
        <v>456638.05700506264</v>
      </c>
      <c r="N32" s="159">
        <f>Inputs!D12*G32</f>
        <v>445346.25663137273</v>
      </c>
      <c r="O32" s="159">
        <f>Inputs!E12*H32</f>
        <v>1161090.1455152975</v>
      </c>
      <c r="P32" s="163">
        <f>Inputs!F12*I32</f>
        <v>0</v>
      </c>
      <c r="R32" s="169">
        <f>SUM(L32:P32)</f>
        <v>11450239.71201976</v>
      </c>
      <c r="S32" s="169">
        <f>R32*$U$77</f>
        <v>28215083.779251315</v>
      </c>
    </row>
    <row r="33" spans="4:19">
      <c r="D33" s="129" t="s">
        <v>172</v>
      </c>
      <c r="E33" s="135">
        <f>$C21*Data_b!B40</f>
        <v>8.8757013472440444E-2</v>
      </c>
      <c r="F33" s="135">
        <f>$C21*Data_b!C40</f>
        <v>0.11538411751417257</v>
      </c>
      <c r="G33" s="135">
        <f>$C21*Data_b!D40</f>
        <v>0.13313552020866065</v>
      </c>
      <c r="H33" s="135">
        <f>$C21*Data_b!E40</f>
        <v>0.17751402694488089</v>
      </c>
      <c r="I33" s="136">
        <f>$C21*Data_b!F40</f>
        <v>0.19526542963936899</v>
      </c>
      <c r="K33" s="129" t="s">
        <v>172</v>
      </c>
      <c r="L33" s="159">
        <f>Inputs!B13*E33</f>
        <v>5140190.5798511989</v>
      </c>
      <c r="M33" s="159">
        <f>Inputs!C13*F33</f>
        <v>3515.8161477395824</v>
      </c>
      <c r="N33" s="159">
        <f>Inputs!D13*G33</f>
        <v>699904.06451831851</v>
      </c>
      <c r="O33" s="159">
        <f>Inputs!E13*H33</f>
        <v>1533341.4194601919</v>
      </c>
      <c r="P33" s="163">
        <f>Inputs!F13*I33</f>
        <v>0</v>
      </c>
      <c r="R33" s="169">
        <f t="shared" ref="R33:R34" si="1">SUM(L33:P33)</f>
        <v>7376951.8799774498</v>
      </c>
      <c r="S33" s="169">
        <f t="shared" ref="S33:S34" si="2">R33*$U$77</f>
        <v>18177900.250470322</v>
      </c>
    </row>
    <row r="34" spans="4:19">
      <c r="D34" s="129" t="s">
        <v>173</v>
      </c>
      <c r="E34" s="98"/>
      <c r="F34" s="98"/>
      <c r="G34" s="98"/>
      <c r="H34" s="135">
        <f>$C22*Data_b!E41</f>
        <v>2.4081120083100905E-3</v>
      </c>
      <c r="I34" s="136">
        <f>$C22*Data_b!F41</f>
        <v>2.6489232091410999E-3</v>
      </c>
      <c r="K34" s="129" t="s">
        <v>173</v>
      </c>
      <c r="L34" s="98"/>
      <c r="M34" s="98"/>
      <c r="N34" s="98"/>
      <c r="O34" s="159">
        <f>Inputs!E14*H34</f>
        <v>10963.615708546255</v>
      </c>
      <c r="P34" s="163">
        <f>Inputs!F14*I34</f>
        <v>0</v>
      </c>
      <c r="R34" s="169">
        <f t="shared" si="1"/>
        <v>10963.615708546255</v>
      </c>
      <c r="S34" s="169">
        <f t="shared" si="2"/>
        <v>27015.970278370929</v>
      </c>
    </row>
    <row r="35" spans="4:19" ht="15" thickBot="1">
      <c r="D35" s="149"/>
      <c r="E35" s="150"/>
      <c r="F35" s="150"/>
      <c r="G35" s="150"/>
      <c r="H35" s="150"/>
      <c r="I35" s="134"/>
      <c r="K35" s="149"/>
      <c r="L35" s="150"/>
      <c r="M35" s="150"/>
      <c r="N35" s="150"/>
      <c r="O35" s="150"/>
      <c r="P35" s="134"/>
      <c r="R35" s="168"/>
      <c r="S35" s="168"/>
    </row>
    <row r="36" spans="4:19" ht="15" thickBot="1">
      <c r="D36" s="94" t="s">
        <v>163</v>
      </c>
      <c r="E36" s="142"/>
      <c r="F36" s="142"/>
      <c r="G36" s="142"/>
      <c r="H36" s="142"/>
      <c r="I36" s="143"/>
      <c r="K36" s="94" t="s">
        <v>163</v>
      </c>
      <c r="L36" s="142"/>
      <c r="M36" s="142"/>
      <c r="N36" s="142"/>
      <c r="O36" s="142"/>
      <c r="P36" s="143"/>
      <c r="R36" s="165" t="s">
        <v>163</v>
      </c>
      <c r="S36" s="165" t="s">
        <v>163</v>
      </c>
    </row>
    <row r="37" spans="4:19">
      <c r="D37" s="183" t="s">
        <v>164</v>
      </c>
      <c r="E37" s="161" t="s">
        <v>190</v>
      </c>
      <c r="F37" s="161" t="s">
        <v>192</v>
      </c>
      <c r="G37" s="161" t="s">
        <v>191</v>
      </c>
      <c r="H37" s="161" t="s">
        <v>193</v>
      </c>
      <c r="I37" s="162" t="s">
        <v>194</v>
      </c>
      <c r="K37" s="151" t="s">
        <v>164</v>
      </c>
      <c r="L37" s="140" t="s">
        <v>190</v>
      </c>
      <c r="M37" s="140" t="s">
        <v>192</v>
      </c>
      <c r="N37" s="140" t="s">
        <v>191</v>
      </c>
      <c r="O37" s="140" t="s">
        <v>193</v>
      </c>
      <c r="P37" s="141" t="s">
        <v>194</v>
      </c>
      <c r="R37" s="168"/>
      <c r="S37" s="168"/>
    </row>
    <row r="38" spans="4:19">
      <c r="D38" s="148"/>
      <c r="E38" s="96" t="s">
        <v>174</v>
      </c>
      <c r="F38" s="96" t="s">
        <v>174</v>
      </c>
      <c r="G38" s="96" t="s">
        <v>174</v>
      </c>
      <c r="H38" s="96" t="s">
        <v>174</v>
      </c>
      <c r="I38" s="128" t="s">
        <v>174</v>
      </c>
      <c r="K38" s="148"/>
      <c r="L38" s="96" t="s">
        <v>142</v>
      </c>
      <c r="M38" s="96" t="s">
        <v>142</v>
      </c>
      <c r="N38" s="96" t="s">
        <v>142</v>
      </c>
      <c r="O38" s="96" t="s">
        <v>142</v>
      </c>
      <c r="P38" s="128" t="s">
        <v>142</v>
      </c>
      <c r="R38" s="168"/>
      <c r="S38" s="168"/>
    </row>
    <row r="39" spans="4:19">
      <c r="D39" s="129" t="s">
        <v>107</v>
      </c>
      <c r="E39" s="135">
        <f>$C23*Data_b!B39</f>
        <v>0.16747425642297084</v>
      </c>
      <c r="F39" s="135">
        <f>$C23*Data_b!C39</f>
        <v>0.2177165333498621</v>
      </c>
      <c r="G39" s="135">
        <f>$C23*Data_b!D39</f>
        <v>0.25121138463445625</v>
      </c>
      <c r="H39" s="135">
        <f>$C23*Data_b!E39</f>
        <v>0.33494851284594168</v>
      </c>
      <c r="I39" s="136">
        <f>$C23*Data_b!F39</f>
        <v>0.36844336413053586</v>
      </c>
      <c r="K39" s="129" t="s">
        <v>107</v>
      </c>
      <c r="L39" s="159">
        <f>Inputs!B19*E39</f>
        <v>0</v>
      </c>
      <c r="M39" s="159">
        <f>Inputs!C19*F39</f>
        <v>0</v>
      </c>
      <c r="N39" s="159">
        <f>Inputs!D19*G39</f>
        <v>0</v>
      </c>
      <c r="O39" s="159">
        <f>Inputs!E19*H39</f>
        <v>0</v>
      </c>
      <c r="P39" s="159">
        <f>Inputs!F19*I39</f>
        <v>0</v>
      </c>
      <c r="R39" s="169">
        <f>SUM(L39:P39)</f>
        <v>0</v>
      </c>
      <c r="S39" s="169">
        <f>R39*$U$78</f>
        <v>0</v>
      </c>
    </row>
    <row r="40" spans="4:19">
      <c r="D40" s="129" t="s">
        <v>172</v>
      </c>
      <c r="E40" s="135">
        <f>$C24*Data_b!B40</f>
        <v>0</v>
      </c>
      <c r="F40" s="135">
        <f>$C24*Data_b!C40</f>
        <v>0</v>
      </c>
      <c r="G40" s="135">
        <f>$C24*Data_b!D40</f>
        <v>0</v>
      </c>
      <c r="H40" s="135">
        <f>$C24*Data_b!E40</f>
        <v>0</v>
      </c>
      <c r="I40" s="136">
        <f>$C24*Data_b!F40</f>
        <v>0</v>
      </c>
      <c r="K40" s="129" t="s">
        <v>172</v>
      </c>
      <c r="L40" s="159">
        <f>Inputs!B20*E40</f>
        <v>0</v>
      </c>
      <c r="M40" s="159">
        <f>Inputs!C20*F40</f>
        <v>0</v>
      </c>
      <c r="N40" s="159">
        <f>Inputs!D20*G40</f>
        <v>0</v>
      </c>
      <c r="O40" s="159">
        <f>Inputs!E20*H40</f>
        <v>0</v>
      </c>
      <c r="P40" s="159">
        <f>Inputs!F20*I40</f>
        <v>0</v>
      </c>
      <c r="R40" s="169">
        <f t="shared" ref="R40:R41" si="3">SUM(L40:P40)</f>
        <v>0</v>
      </c>
      <c r="S40" s="169">
        <f t="shared" ref="S40:S41" si="4">R40*$U$78</f>
        <v>0</v>
      </c>
    </row>
    <row r="41" spans="4:19">
      <c r="D41" s="129" t="s">
        <v>173</v>
      </c>
      <c r="E41" s="98"/>
      <c r="F41" s="98"/>
      <c r="G41" s="98"/>
      <c r="H41" s="135">
        <f>$C25*Data_b!E41</f>
        <v>4.7343360451885209E-3</v>
      </c>
      <c r="I41" s="136">
        <f>$C25*Data_b!F41</f>
        <v>5.2077696497073731E-3</v>
      </c>
      <c r="K41" s="129" t="s">
        <v>173</v>
      </c>
      <c r="L41" s="98"/>
      <c r="M41" s="98"/>
      <c r="N41" s="98"/>
      <c r="O41" s="159">
        <f>Inputs!E21*H41</f>
        <v>0</v>
      </c>
      <c r="P41" s="159">
        <f>Inputs!F21*I41</f>
        <v>0</v>
      </c>
      <c r="R41" s="169">
        <f t="shared" si="3"/>
        <v>0</v>
      </c>
      <c r="S41" s="169">
        <f t="shared" si="4"/>
        <v>0</v>
      </c>
    </row>
    <row r="42" spans="4:19">
      <c r="D42" s="151" t="s">
        <v>185</v>
      </c>
      <c r="E42" s="140" t="s">
        <v>190</v>
      </c>
      <c r="F42" s="140" t="s">
        <v>192</v>
      </c>
      <c r="G42" s="140" t="s">
        <v>191</v>
      </c>
      <c r="H42" s="140" t="s">
        <v>193</v>
      </c>
      <c r="I42" s="141" t="s">
        <v>194</v>
      </c>
      <c r="K42" s="151" t="s">
        <v>185</v>
      </c>
      <c r="L42" s="140" t="s">
        <v>190</v>
      </c>
      <c r="M42" s="140" t="s">
        <v>192</v>
      </c>
      <c r="N42" s="140" t="s">
        <v>191</v>
      </c>
      <c r="O42" s="140" t="s">
        <v>193</v>
      </c>
      <c r="P42" s="141" t="s">
        <v>194</v>
      </c>
      <c r="R42" s="168"/>
      <c r="S42" s="168"/>
    </row>
    <row r="43" spans="4:19">
      <c r="D43" s="148"/>
      <c r="E43" s="96" t="s">
        <v>184</v>
      </c>
      <c r="F43" s="96" t="s">
        <v>184</v>
      </c>
      <c r="G43" s="96" t="s">
        <v>184</v>
      </c>
      <c r="H43" s="96" t="s">
        <v>184</v>
      </c>
      <c r="I43" s="128" t="s">
        <v>184</v>
      </c>
      <c r="K43" s="148"/>
      <c r="L43" s="96" t="s">
        <v>142</v>
      </c>
      <c r="M43" s="96" t="s">
        <v>142</v>
      </c>
      <c r="N43" s="96" t="s">
        <v>142</v>
      </c>
      <c r="O43" s="96" t="s">
        <v>142</v>
      </c>
      <c r="P43" s="128" t="s">
        <v>142</v>
      </c>
      <c r="R43" s="168"/>
      <c r="S43" s="168"/>
    </row>
    <row r="44" spans="4:19">
      <c r="D44" s="129" t="s">
        <v>107</v>
      </c>
      <c r="E44" s="273">
        <f>UCC!$B$21</f>
        <v>1.7297436021619313E-5</v>
      </c>
      <c r="F44" s="273">
        <f>UCC!$B$21</f>
        <v>1.7297436021619313E-5</v>
      </c>
      <c r="G44" s="273">
        <f>UCC!$B$21</f>
        <v>1.7297436021619313E-5</v>
      </c>
      <c r="H44" s="273">
        <f>UCC!$B$21</f>
        <v>1.7297436021619313E-5</v>
      </c>
      <c r="I44" s="274">
        <f>UCC!$B$21</f>
        <v>1.7297436021619313E-5</v>
      </c>
      <c r="K44" s="129" t="s">
        <v>107</v>
      </c>
      <c r="L44" s="159">
        <f>Inputs!B24*E44</f>
        <v>0</v>
      </c>
      <c r="M44" s="159">
        <f>Inputs!C24*F44</f>
        <v>0</v>
      </c>
      <c r="N44" s="159">
        <f>Inputs!D24*G44</f>
        <v>0</v>
      </c>
      <c r="O44" s="159">
        <f>Inputs!E24*H44</f>
        <v>0</v>
      </c>
      <c r="P44" s="163">
        <f>Inputs!F24*I44</f>
        <v>0</v>
      </c>
      <c r="R44" s="169">
        <f t="shared" ref="R44:R46" si="5">SUM(L44:P44)</f>
        <v>0</v>
      </c>
      <c r="S44" s="169">
        <f t="shared" ref="S44:S46" si="6">R44*$U$78</f>
        <v>0</v>
      </c>
    </row>
    <row r="45" spans="4:19">
      <c r="D45" s="129" t="s">
        <v>172</v>
      </c>
      <c r="E45" s="273">
        <f>UCC!$B$21</f>
        <v>1.7297436021619313E-5</v>
      </c>
      <c r="F45" s="273">
        <f>UCC!$B$21</f>
        <v>1.7297436021619313E-5</v>
      </c>
      <c r="G45" s="273">
        <f>UCC!$B$21</f>
        <v>1.7297436021619313E-5</v>
      </c>
      <c r="H45" s="273">
        <f>UCC!$B$21</f>
        <v>1.7297436021619313E-5</v>
      </c>
      <c r="I45" s="274">
        <f>UCC!$B$21</f>
        <v>1.7297436021619313E-5</v>
      </c>
      <c r="K45" s="129" t="s">
        <v>172</v>
      </c>
      <c r="L45" s="159">
        <f>Inputs!B25*E45</f>
        <v>0</v>
      </c>
      <c r="M45" s="159">
        <f>Inputs!C25*F45</f>
        <v>0</v>
      </c>
      <c r="N45" s="159">
        <f>Inputs!D25*G45</f>
        <v>0</v>
      </c>
      <c r="O45" s="159">
        <f>Inputs!E25*H45</f>
        <v>0</v>
      </c>
      <c r="P45" s="163">
        <f>Inputs!F25*I45</f>
        <v>0</v>
      </c>
      <c r="R45" s="169">
        <f t="shared" si="5"/>
        <v>0</v>
      </c>
      <c r="S45" s="169">
        <f t="shared" si="6"/>
        <v>0</v>
      </c>
    </row>
    <row r="46" spans="4:19">
      <c r="D46" s="129" t="s">
        <v>173</v>
      </c>
      <c r="E46" s="275"/>
      <c r="F46" s="275"/>
      <c r="G46" s="275"/>
      <c r="H46" s="273">
        <f>UCC!$B$21</f>
        <v>1.7297436021619313E-5</v>
      </c>
      <c r="I46" s="274">
        <f>UCC!$B$21</f>
        <v>1.7297436021619313E-5</v>
      </c>
      <c r="K46" s="129" t="s">
        <v>173</v>
      </c>
      <c r="L46" s="98"/>
      <c r="M46" s="98"/>
      <c r="N46" s="98"/>
      <c r="O46" s="159">
        <f>Inputs!E26*H46</f>
        <v>0</v>
      </c>
      <c r="P46" s="163">
        <f>Inputs!F26*I46</f>
        <v>0</v>
      </c>
      <c r="R46" s="169">
        <f t="shared" si="5"/>
        <v>0</v>
      </c>
      <c r="S46" s="169">
        <f t="shared" si="6"/>
        <v>0</v>
      </c>
    </row>
    <row r="47" spans="4:19" ht="15" thickBot="1">
      <c r="D47" s="149"/>
      <c r="E47" s="150"/>
      <c r="F47" s="150"/>
      <c r="G47" s="150"/>
      <c r="H47" s="150"/>
      <c r="I47" s="134"/>
      <c r="K47" s="130"/>
      <c r="L47" s="29"/>
      <c r="M47" s="29"/>
      <c r="N47" s="29"/>
      <c r="O47" s="29"/>
      <c r="P47" s="131"/>
      <c r="R47" s="168"/>
      <c r="S47" s="168"/>
    </row>
    <row r="48" spans="4:19" ht="15" thickBot="1">
      <c r="D48" s="94" t="s">
        <v>186</v>
      </c>
      <c r="E48" s="142"/>
      <c r="F48" s="142"/>
      <c r="G48" s="142"/>
      <c r="H48" s="142"/>
      <c r="I48" s="143"/>
      <c r="K48" s="94" t="s">
        <v>186</v>
      </c>
      <c r="L48" s="142"/>
      <c r="M48" s="142"/>
      <c r="N48" s="142"/>
      <c r="O48" s="142"/>
      <c r="P48" s="143"/>
      <c r="R48" s="165" t="s">
        <v>186</v>
      </c>
      <c r="S48" s="165" t="s">
        <v>186</v>
      </c>
    </row>
    <row r="49" spans="4:19">
      <c r="D49" s="153" t="s">
        <v>187</v>
      </c>
      <c r="E49" s="155" t="s">
        <v>164</v>
      </c>
      <c r="F49" s="156" t="s">
        <v>164</v>
      </c>
      <c r="G49" s="155" t="s">
        <v>185</v>
      </c>
      <c r="H49" s="157" t="s">
        <v>185</v>
      </c>
      <c r="I49" s="152"/>
      <c r="K49" s="153" t="s">
        <v>187</v>
      </c>
      <c r="L49" s="155" t="s">
        <v>164</v>
      </c>
      <c r="M49" s="156" t="s">
        <v>164</v>
      </c>
      <c r="N49" s="155" t="s">
        <v>185</v>
      </c>
      <c r="O49" s="155" t="s">
        <v>185</v>
      </c>
      <c r="P49" s="152"/>
      <c r="R49" s="168"/>
      <c r="S49" s="168"/>
    </row>
    <row r="50" spans="4:19">
      <c r="D50" s="154"/>
      <c r="E50" s="104" t="s">
        <v>539</v>
      </c>
      <c r="F50" s="104" t="s">
        <v>540</v>
      </c>
      <c r="G50" s="104" t="s">
        <v>539</v>
      </c>
      <c r="H50" s="104" t="s">
        <v>540</v>
      </c>
      <c r="I50" s="131"/>
      <c r="K50" s="154"/>
      <c r="L50" s="104" t="s">
        <v>539</v>
      </c>
      <c r="M50" s="104" t="s">
        <v>540</v>
      </c>
      <c r="N50" s="104" t="s">
        <v>539</v>
      </c>
      <c r="O50" s="104" t="s">
        <v>540</v>
      </c>
      <c r="P50" s="131"/>
      <c r="R50" s="168"/>
      <c r="S50" s="168"/>
    </row>
    <row r="51" spans="4:19">
      <c r="D51" s="127"/>
      <c r="E51" s="105" t="s">
        <v>174</v>
      </c>
      <c r="F51" s="105" t="s">
        <v>174</v>
      </c>
      <c r="G51" s="105" t="s">
        <v>184</v>
      </c>
      <c r="H51" s="105" t="s">
        <v>184</v>
      </c>
      <c r="I51" s="131"/>
      <c r="K51" s="127"/>
      <c r="L51" s="105" t="s">
        <v>142</v>
      </c>
      <c r="M51" s="105" t="s">
        <v>142</v>
      </c>
      <c r="N51" s="105" t="s">
        <v>142</v>
      </c>
      <c r="O51" s="105" t="s">
        <v>142</v>
      </c>
      <c r="P51" s="131"/>
      <c r="R51" s="168"/>
      <c r="S51" s="168"/>
    </row>
    <row r="52" spans="4:19">
      <c r="D52" s="129" t="s">
        <v>536</v>
      </c>
      <c r="E52" s="135">
        <f>$C$11</f>
        <v>0.10751645503172109</v>
      </c>
      <c r="F52" s="135">
        <f t="shared" ref="F52:F53" si="7">$C$11</f>
        <v>0.10751645503172109</v>
      </c>
      <c r="G52" s="273">
        <f>H52*Data_b!$B$54/Data_b!$B$55</f>
        <v>4.3252057330422499E-4</v>
      </c>
      <c r="H52" s="273">
        <f>UCC!$B$21</f>
        <v>1.7297436021619313E-5</v>
      </c>
      <c r="I52" s="131"/>
      <c r="K52" s="129" t="s">
        <v>536</v>
      </c>
      <c r="L52" s="159">
        <f>Inputs!B32*E52</f>
        <v>93017.81741517203</v>
      </c>
      <c r="M52" s="159">
        <f>Inputs!C32*F52</f>
        <v>11402775.950145237</v>
      </c>
      <c r="N52" s="159">
        <f>Inputs!D32*G52</f>
        <v>87786.795399656316</v>
      </c>
      <c r="O52" s="159">
        <f>Inputs!E32*H52</f>
        <v>430376.55491333542</v>
      </c>
      <c r="P52" s="131"/>
      <c r="R52" s="169">
        <f t="shared" ref="R52:R54" si="8">SUM(L52:P52)</f>
        <v>12013957.1178734</v>
      </c>
      <c r="S52" s="169">
        <f t="shared" ref="S52:S54" si="9">R52*$U$78</f>
        <v>15870012.623646172</v>
      </c>
    </row>
    <row r="53" spans="4:19">
      <c r="D53" s="129" t="s">
        <v>537</v>
      </c>
      <c r="E53" s="135">
        <f t="shared" ref="E53" si="10">$C$11</f>
        <v>0.10751645503172109</v>
      </c>
      <c r="F53" s="135">
        <f t="shared" si="7"/>
        <v>0.10751645503172109</v>
      </c>
      <c r="G53" s="273">
        <f>H53*Data_b!$B$54/Data_b!$B$55</f>
        <v>4.3252057330422499E-4</v>
      </c>
      <c r="H53" s="273">
        <f>UCC!$B$21</f>
        <v>1.7297436021619313E-5</v>
      </c>
      <c r="I53" s="131"/>
      <c r="K53" s="129" t="s">
        <v>537</v>
      </c>
      <c r="L53" s="159">
        <f>Inputs!B33*E53</f>
        <v>90879.627571250152</v>
      </c>
      <c r="M53" s="159">
        <f>Inputs!C33*F53</f>
        <v>6077351.9770238278</v>
      </c>
      <c r="N53" s="159">
        <f>Inputs!D33*G53</f>
        <v>5424.6094498573129</v>
      </c>
      <c r="O53" s="159">
        <f>Inputs!E33*H53</f>
        <v>279160.8074311422</v>
      </c>
      <c r="P53" s="131"/>
      <c r="R53" s="169">
        <f t="shared" si="8"/>
        <v>6452817.0214760769</v>
      </c>
      <c r="S53" s="169">
        <f t="shared" si="9"/>
        <v>8523943.1591238473</v>
      </c>
    </row>
    <row r="54" spans="4:19">
      <c r="D54" s="129" t="s">
        <v>538</v>
      </c>
      <c r="E54" s="135">
        <f t="array" ref="E54:H54">TRANSPOSE('Short uses'!C26:C29)</f>
        <v>5.0509097063663869E-2</v>
      </c>
      <c r="F54" s="135">
        <v>5.0509097063663869E-2</v>
      </c>
      <c r="G54" s="273">
        <v>1.5549449524967555E-3</v>
      </c>
      <c r="H54" s="273">
        <v>1.1397218152141499E-3</v>
      </c>
      <c r="I54" s="131"/>
      <c r="K54" s="129" t="s">
        <v>538</v>
      </c>
      <c r="L54" s="159">
        <f>Inputs!B34*E54</f>
        <v>0</v>
      </c>
      <c r="M54" s="159">
        <f>Inputs!C34*F54</f>
        <v>0</v>
      </c>
      <c r="N54" s="159">
        <f>Inputs!D34*G54</f>
        <v>0</v>
      </c>
      <c r="O54" s="159">
        <f>Inputs!E34*H54</f>
        <v>0</v>
      </c>
      <c r="P54" s="131"/>
      <c r="R54" s="169">
        <f t="shared" si="8"/>
        <v>0</v>
      </c>
      <c r="S54" s="169">
        <f t="shared" si="9"/>
        <v>0</v>
      </c>
    </row>
    <row r="55" spans="4:19">
      <c r="D55" s="154" t="s">
        <v>187</v>
      </c>
      <c r="E55" s="103" t="s">
        <v>164</v>
      </c>
      <c r="F55" s="99" t="s">
        <v>164</v>
      </c>
      <c r="G55" s="103" t="s">
        <v>185</v>
      </c>
      <c r="H55" s="100"/>
      <c r="I55" s="131"/>
      <c r="K55" s="154" t="s">
        <v>187</v>
      </c>
      <c r="L55" s="103" t="s">
        <v>164</v>
      </c>
      <c r="M55" s="99" t="s">
        <v>164</v>
      </c>
      <c r="N55" s="103" t="s">
        <v>185</v>
      </c>
      <c r="O55" s="100"/>
      <c r="P55" s="131"/>
      <c r="R55" s="168"/>
      <c r="S55" s="168"/>
    </row>
    <row r="56" spans="4:19">
      <c r="D56" s="127"/>
      <c r="E56" s="104" t="s">
        <v>547</v>
      </c>
      <c r="F56" s="106" t="s">
        <v>548</v>
      </c>
      <c r="G56" s="104"/>
      <c r="H56" s="107"/>
      <c r="I56" s="131"/>
      <c r="K56" s="127"/>
      <c r="L56" s="104" t="s">
        <v>547</v>
      </c>
      <c r="M56" s="106" t="s">
        <v>548</v>
      </c>
      <c r="N56" s="104"/>
      <c r="O56" s="107"/>
      <c r="P56" s="131"/>
      <c r="R56" s="168"/>
      <c r="S56" s="168"/>
    </row>
    <row r="57" spans="4:19">
      <c r="D57" s="127"/>
      <c r="E57" s="105" t="s">
        <v>174</v>
      </c>
      <c r="F57" s="101" t="s">
        <v>174</v>
      </c>
      <c r="G57" s="105" t="s">
        <v>184</v>
      </c>
      <c r="H57" s="102"/>
      <c r="I57" s="131"/>
      <c r="K57" s="127"/>
      <c r="L57" s="105" t="s">
        <v>142</v>
      </c>
      <c r="M57" s="101" t="s">
        <v>142</v>
      </c>
      <c r="N57" s="105" t="s">
        <v>142</v>
      </c>
      <c r="O57" s="102"/>
      <c r="P57" s="131"/>
      <c r="R57" s="168"/>
      <c r="S57" s="168"/>
    </row>
    <row r="58" spans="4:19">
      <c r="D58" s="129" t="s">
        <v>541</v>
      </c>
      <c r="E58" s="135">
        <f>Data_b!B47*$C$26</f>
        <v>0.6450987301903266</v>
      </c>
      <c r="F58" s="135">
        <f>Data_b!C47*$C$26</f>
        <v>1.0751645503172109</v>
      </c>
      <c r="G58" s="273">
        <f>UCC!$B$21</f>
        <v>1.7297436021619313E-5</v>
      </c>
      <c r="H58" s="98"/>
      <c r="I58" s="131"/>
      <c r="K58" s="129" t="s">
        <v>541</v>
      </c>
      <c r="L58" s="159">
        <f>Inputs!B38*E58/2</f>
        <v>0</v>
      </c>
      <c r="M58" s="159">
        <f>Inputs!C38*F58/2</f>
        <v>0</v>
      </c>
      <c r="N58" s="159">
        <f>Inputs!D38*G58</f>
        <v>0</v>
      </c>
      <c r="O58" s="98"/>
      <c r="P58" s="131"/>
      <c r="R58" s="169">
        <f>SUM(L58:P58)</f>
        <v>0</v>
      </c>
      <c r="S58" s="169">
        <f>R58*$U$78</f>
        <v>0</v>
      </c>
    </row>
    <row r="59" spans="4:19">
      <c r="D59" s="154" t="s">
        <v>187</v>
      </c>
      <c r="E59" s="103" t="s">
        <v>164</v>
      </c>
      <c r="F59" s="99" t="s">
        <v>164</v>
      </c>
      <c r="G59" s="103" t="s">
        <v>185</v>
      </c>
      <c r="H59" s="100"/>
      <c r="I59" s="131"/>
      <c r="K59" s="154" t="s">
        <v>187</v>
      </c>
      <c r="L59" s="103" t="s">
        <v>164</v>
      </c>
      <c r="M59" s="99" t="s">
        <v>164</v>
      </c>
      <c r="N59" s="103" t="s">
        <v>185</v>
      </c>
      <c r="O59" s="100"/>
      <c r="P59" s="131"/>
      <c r="R59" s="168"/>
      <c r="S59" s="168"/>
    </row>
    <row r="60" spans="4:19">
      <c r="D60" s="127"/>
      <c r="E60" s="104" t="s">
        <v>547</v>
      </c>
      <c r="F60" s="106" t="s">
        <v>548</v>
      </c>
      <c r="G60" s="104"/>
      <c r="H60" s="107"/>
      <c r="I60" s="131"/>
      <c r="K60" s="127"/>
      <c r="L60" s="104" t="s">
        <v>547</v>
      </c>
      <c r="M60" s="106" t="s">
        <v>548</v>
      </c>
      <c r="N60" s="104"/>
      <c r="O60" s="107"/>
      <c r="P60" s="131"/>
      <c r="R60" s="168"/>
      <c r="S60" s="168"/>
    </row>
    <row r="61" spans="4:19">
      <c r="D61" s="127"/>
      <c r="E61" s="105" t="s">
        <v>174</v>
      </c>
      <c r="F61" s="101" t="s">
        <v>174</v>
      </c>
      <c r="G61" s="105" t="s">
        <v>184</v>
      </c>
      <c r="H61" s="102"/>
      <c r="I61" s="131"/>
      <c r="K61" s="127"/>
      <c r="L61" s="105" t="s">
        <v>142</v>
      </c>
      <c r="M61" s="101" t="s">
        <v>142</v>
      </c>
      <c r="N61" s="105" t="s">
        <v>142</v>
      </c>
      <c r="O61" s="102"/>
      <c r="P61" s="131"/>
      <c r="R61" s="168"/>
      <c r="S61" s="168"/>
    </row>
    <row r="62" spans="4:19">
      <c r="D62" s="129" t="s">
        <v>543</v>
      </c>
      <c r="E62" s="135">
        <f>Data_b!B46*$C$26</f>
        <v>0.16127468254758165</v>
      </c>
      <c r="F62" s="135">
        <f>Data_b!C46*$C$26</f>
        <v>0.3225493650951633</v>
      </c>
      <c r="G62" s="273">
        <f>UCC!$B$21</f>
        <v>1.7297436021619313E-5</v>
      </c>
      <c r="H62" s="98"/>
      <c r="I62" s="131"/>
      <c r="K62" s="129" t="s">
        <v>543</v>
      </c>
      <c r="L62" s="159">
        <f>Inputs!B42*E62/2</f>
        <v>3070951.4376033205</v>
      </c>
      <c r="M62" s="159">
        <f>Inputs!C42*F62/2</f>
        <v>6309418.2706042957</v>
      </c>
      <c r="N62" s="159">
        <f>Inputs!D42*G62</f>
        <v>71829.976764958119</v>
      </c>
      <c r="O62" s="98"/>
      <c r="P62" s="131"/>
      <c r="R62" s="169">
        <f>SUM(L62:P62)</f>
        <v>9452199.6849725749</v>
      </c>
      <c r="S62" s="169">
        <f>R62*$U$78</f>
        <v>12486021.620517645</v>
      </c>
    </row>
    <row r="63" spans="4:19">
      <c r="D63" s="154" t="s">
        <v>187</v>
      </c>
      <c r="E63" s="103" t="s">
        <v>164</v>
      </c>
      <c r="F63" s="99" t="s">
        <v>164</v>
      </c>
      <c r="G63" s="103" t="s">
        <v>185</v>
      </c>
      <c r="H63" s="100"/>
      <c r="I63" s="131"/>
      <c r="K63" s="154" t="s">
        <v>187</v>
      </c>
      <c r="L63" s="103" t="s">
        <v>164</v>
      </c>
      <c r="M63" s="99" t="s">
        <v>164</v>
      </c>
      <c r="N63" s="103" t="s">
        <v>185</v>
      </c>
      <c r="O63" s="100"/>
      <c r="P63" s="131"/>
      <c r="R63" s="168"/>
      <c r="S63" s="168"/>
    </row>
    <row r="64" spans="4:19">
      <c r="D64" s="127"/>
      <c r="E64" s="104" t="s">
        <v>545</v>
      </c>
      <c r="F64" s="106" t="s">
        <v>546</v>
      </c>
      <c r="G64" s="104"/>
      <c r="H64" s="107"/>
      <c r="I64" s="131"/>
      <c r="K64" s="127"/>
      <c r="L64" s="104" t="s">
        <v>545</v>
      </c>
      <c r="M64" s="106" t="s">
        <v>546</v>
      </c>
      <c r="N64" s="104"/>
      <c r="O64" s="107"/>
      <c r="P64" s="131"/>
      <c r="R64" s="168"/>
      <c r="S64" s="168"/>
    </row>
    <row r="65" spans="4:23">
      <c r="D65" s="127"/>
      <c r="E65" s="105" t="s">
        <v>174</v>
      </c>
      <c r="F65" s="101" t="s">
        <v>174</v>
      </c>
      <c r="G65" s="105" t="s">
        <v>184</v>
      </c>
      <c r="H65" s="102"/>
      <c r="I65" s="131"/>
      <c r="K65" s="127"/>
      <c r="L65" s="105" t="s">
        <v>142</v>
      </c>
      <c r="M65" s="101" t="s">
        <v>142</v>
      </c>
      <c r="N65" s="105" t="s">
        <v>142</v>
      </c>
      <c r="O65" s="102"/>
      <c r="P65" s="131"/>
      <c r="R65" s="168"/>
      <c r="S65" s="168"/>
    </row>
    <row r="66" spans="4:23">
      <c r="D66" s="129" t="s">
        <v>542</v>
      </c>
      <c r="E66" s="135">
        <f>$C$11</f>
        <v>0.10751645503172109</v>
      </c>
      <c r="F66" s="135">
        <f>C26*Data_b!B45</f>
        <v>0.16127468254758165</v>
      </c>
      <c r="G66" s="273">
        <f>UCC!$B$21</f>
        <v>1.7297436021619313E-5</v>
      </c>
      <c r="H66" s="98"/>
      <c r="I66" s="131"/>
      <c r="K66" s="129" t="s">
        <v>542</v>
      </c>
      <c r="L66" s="159">
        <f>Inputs!B46*E66</f>
        <v>6982793.0785265379</v>
      </c>
      <c r="M66" s="159">
        <f>Inputs!C46*F66/2</f>
        <v>0</v>
      </c>
      <c r="N66" s="159">
        <f>Inputs!D46*G66</f>
        <v>239218.97013889928</v>
      </c>
      <c r="O66" s="98"/>
      <c r="P66" s="131"/>
      <c r="R66" s="169">
        <f>SUM(L66:P66)</f>
        <v>7222012.0486654369</v>
      </c>
      <c r="S66" s="169">
        <f>R66*$U$78</f>
        <v>9540022.5967123341</v>
      </c>
    </row>
    <row r="67" spans="4:23">
      <c r="D67" s="154" t="s">
        <v>185</v>
      </c>
      <c r="E67" s="103"/>
      <c r="F67" s="99"/>
      <c r="G67" s="103" t="s">
        <v>185</v>
      </c>
      <c r="H67" s="100"/>
      <c r="I67" s="131"/>
      <c r="K67" s="154" t="s">
        <v>185</v>
      </c>
      <c r="L67" s="103"/>
      <c r="M67" s="99"/>
      <c r="N67" s="103" t="s">
        <v>185</v>
      </c>
      <c r="O67" s="100"/>
      <c r="P67" s="131"/>
      <c r="R67" s="168"/>
      <c r="S67" s="168"/>
    </row>
    <row r="68" spans="4:23">
      <c r="D68" s="127"/>
      <c r="E68" s="105"/>
      <c r="F68" s="101"/>
      <c r="G68" s="105" t="s">
        <v>184</v>
      </c>
      <c r="H68" s="102"/>
      <c r="I68" s="131"/>
      <c r="K68" s="127"/>
      <c r="L68" s="105"/>
      <c r="M68" s="101"/>
      <c r="N68" s="105" t="s">
        <v>142</v>
      </c>
      <c r="O68" s="102"/>
      <c r="P68" s="131"/>
      <c r="R68" s="168"/>
      <c r="S68" s="168"/>
    </row>
    <row r="69" spans="4:23" ht="15" thickBot="1">
      <c r="D69" s="132" t="s">
        <v>544</v>
      </c>
      <c r="E69" s="133"/>
      <c r="F69" s="133"/>
      <c r="G69" s="133"/>
      <c r="H69" s="133"/>
      <c r="I69" s="134"/>
      <c r="K69" s="132" t="s">
        <v>544</v>
      </c>
      <c r="L69" s="133"/>
      <c r="M69" s="133"/>
      <c r="N69" s="164">
        <f>Inputs!D49*G69</f>
        <v>0</v>
      </c>
      <c r="O69" s="133"/>
      <c r="P69" s="134"/>
      <c r="R69" s="166">
        <f>SUM(L69:P69)</f>
        <v>0</v>
      </c>
      <c r="S69" s="166">
        <f>R69*$U$78</f>
        <v>0</v>
      </c>
    </row>
    <row r="70" spans="4:23" ht="15" thickBot="1">
      <c r="R70" s="170">
        <f>SUM(R30:R69)</f>
        <v>53979141.080693245</v>
      </c>
      <c r="S70" s="170">
        <f>SUM(S30:S69)</f>
        <v>92840000</v>
      </c>
    </row>
    <row r="71" spans="4:23" ht="15" thickBot="1">
      <c r="T71" s="184" t="s">
        <v>195</v>
      </c>
      <c r="U71" s="185"/>
    </row>
    <row r="72" spans="4:23">
      <c r="T72" s="113" t="s">
        <v>196</v>
      </c>
      <c r="U72" s="186"/>
      <c r="V72" s="115"/>
    </row>
    <row r="73" spans="4:23" ht="15" thickBot="1">
      <c r="T73" s="187"/>
      <c r="U73" s="197" t="s">
        <v>202</v>
      </c>
      <c r="V73" s="198" t="s">
        <v>203</v>
      </c>
    </row>
    <row r="74" spans="4:23">
      <c r="T74" s="172" t="s">
        <v>2</v>
      </c>
      <c r="U74" s="189">
        <f>SUM(R32:R46)/R70</f>
        <v>0.34898953244818509</v>
      </c>
      <c r="V74" s="192">
        <f>CWD!A17</f>
        <v>0.5</v>
      </c>
    </row>
    <row r="75" spans="4:23" ht="15" thickBot="1">
      <c r="T75" s="132" t="s">
        <v>3</v>
      </c>
      <c r="U75" s="191">
        <f>SUM(R52:R69)/R70</f>
        <v>0.65101046755181491</v>
      </c>
      <c r="V75" s="193">
        <f>1-V74</f>
        <v>0.5</v>
      </c>
    </row>
    <row r="76" spans="4:23" ht="15" thickBot="1">
      <c r="T76" s="187" t="s">
        <v>197</v>
      </c>
      <c r="U76" s="190"/>
    </row>
    <row r="77" spans="4:23">
      <c r="T77" s="172" t="s">
        <v>2</v>
      </c>
      <c r="U77" s="174">
        <f>(V74*Inputs!C5)/(U74*R70)</f>
        <v>2.4641478684182347</v>
      </c>
    </row>
    <row r="78" spans="4:23" ht="15" thickBot="1">
      <c r="T78" s="173" t="s">
        <v>3</v>
      </c>
      <c r="U78" s="179">
        <f>(V75*Inputs!C5)/(U75*R70)</f>
        <v>1.3209646470300815</v>
      </c>
    </row>
    <row r="79" spans="4:23">
      <c r="T79" s="113" t="s">
        <v>198</v>
      </c>
      <c r="U79" s="186"/>
      <c r="V79" s="114"/>
      <c r="W79" s="209" t="s">
        <v>174</v>
      </c>
    </row>
    <row r="80" spans="4:23" ht="15" thickBot="1">
      <c r="T80" s="187"/>
      <c r="U80" s="188"/>
      <c r="V80" s="195" t="s">
        <v>199</v>
      </c>
      <c r="W80" s="196" t="s">
        <v>200</v>
      </c>
    </row>
    <row r="81" spans="20:23">
      <c r="T81" s="211" t="s">
        <v>262</v>
      </c>
      <c r="U81" s="180" t="s">
        <v>107</v>
      </c>
      <c r="V81" s="180">
        <f>$U$77</f>
        <v>2.4641478684182347</v>
      </c>
      <c r="W81" s="194">
        <f t="shared" ref="W81:W87" si="11">V81*C20</f>
        <v>0.2288976688050621</v>
      </c>
    </row>
    <row r="82" spans="20:23">
      <c r="T82" s="97"/>
      <c r="U82" s="176" t="s">
        <v>119</v>
      </c>
      <c r="V82" s="180">
        <f t="shared" ref="V82:V83" si="12">$U$77</f>
        <v>2.4641478684182347</v>
      </c>
      <c r="W82" s="182">
        <f t="shared" si="11"/>
        <v>0.21871040555528265</v>
      </c>
    </row>
    <row r="83" spans="20:23" ht="15" thickBot="1">
      <c r="T83" s="97"/>
      <c r="U83" s="176" t="s">
        <v>256</v>
      </c>
      <c r="V83" s="181">
        <f t="shared" si="12"/>
        <v>2.4641478684182347</v>
      </c>
      <c r="W83" s="175">
        <f t="shared" si="11"/>
        <v>5.933944072189664E-3</v>
      </c>
    </row>
    <row r="84" spans="20:23">
      <c r="T84" s="97" t="s">
        <v>263</v>
      </c>
      <c r="U84" s="180" t="s">
        <v>107</v>
      </c>
      <c r="V84" s="177">
        <f>$U$78</f>
        <v>1.3209646470300815</v>
      </c>
      <c r="W84" s="357">
        <f t="shared" si="11"/>
        <v>0.22122757202239504</v>
      </c>
    </row>
    <row r="85" spans="20:23">
      <c r="T85" s="97"/>
      <c r="U85" s="176" t="s">
        <v>119</v>
      </c>
      <c r="V85" s="176">
        <f t="shared" ref="V85:V87" si="13">$U$78</f>
        <v>1.3209646470300815</v>
      </c>
      <c r="W85" s="182">
        <f t="shared" si="11"/>
        <v>0</v>
      </c>
    </row>
    <row r="86" spans="20:23">
      <c r="T86" s="97"/>
      <c r="U86" s="176" t="s">
        <v>256</v>
      </c>
      <c r="V86" s="176">
        <f t="shared" si="13"/>
        <v>1.3209646470300815</v>
      </c>
      <c r="W86" s="182">
        <f t="shared" si="11"/>
        <v>6.2538905428542466E-3</v>
      </c>
    </row>
    <row r="87" spans="20:23" ht="15" thickBot="1">
      <c r="T87" s="97"/>
      <c r="U87" s="176" t="s">
        <v>264</v>
      </c>
      <c r="V87" s="178">
        <f t="shared" si="13"/>
        <v>1.3209646470300815</v>
      </c>
      <c r="W87" s="175">
        <f t="shared" si="11"/>
        <v>0.14202543607090309</v>
      </c>
    </row>
    <row r="89" spans="20:23">
      <c r="W89" s="199"/>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W89"/>
  <sheetViews>
    <sheetView showGridLines="0" topLeftCell="A33" zoomScale="80" zoomScaleNormal="80" workbookViewId="0">
      <selection activeCell="D44" sqref="D44:D46"/>
    </sheetView>
  </sheetViews>
  <sheetFormatPr defaultRowHeight="14.4"/>
  <cols>
    <col min="1" max="1" width="29.77734375" customWidth="1"/>
    <col min="2" max="2" width="27.77734375" bestFit="1" customWidth="1"/>
    <col min="3" max="3" width="21.5546875" bestFit="1" customWidth="1"/>
    <col min="4" max="4" width="28.33203125" bestFit="1" customWidth="1"/>
    <col min="5" max="9" width="19.44140625" customWidth="1"/>
    <col min="10" max="10" width="3.88671875" customWidth="1"/>
    <col min="11" max="11" width="32.33203125" bestFit="1" customWidth="1"/>
    <col min="12" max="16" width="19.44140625" customWidth="1"/>
    <col min="17" max="17" width="4.44140625" customWidth="1"/>
    <col min="18" max="18" width="29" bestFit="1" customWidth="1"/>
    <col min="19" max="19" width="29" customWidth="1"/>
    <col min="20" max="20" width="11.77734375" customWidth="1"/>
    <col min="21" max="21" width="27" bestFit="1" customWidth="1"/>
    <col min="22" max="22" width="14.77734375" customWidth="1"/>
    <col min="23" max="23" width="20.88671875" bestFit="1" customWidth="1"/>
    <col min="25" max="25" width="13.109375" bestFit="1" customWidth="1"/>
  </cols>
  <sheetData>
    <row r="1" spans="1:4" ht="15" thickBot="1">
      <c r="A1" s="2" t="s">
        <v>394</v>
      </c>
    </row>
    <row r="2" spans="1:4" ht="15" thickBot="1">
      <c r="A2" s="90" t="s">
        <v>171</v>
      </c>
      <c r="B2" s="144"/>
      <c r="C2" s="145"/>
    </row>
    <row r="3" spans="1:4">
      <c r="A3" s="113" t="s">
        <v>114</v>
      </c>
      <c r="B3" s="114"/>
      <c r="C3" s="115"/>
    </row>
    <row r="4" spans="1:4">
      <c r="A4" s="120"/>
      <c r="B4" s="80"/>
      <c r="C4" s="122" t="s">
        <v>174</v>
      </c>
    </row>
    <row r="5" spans="1:4">
      <c r="A5" s="81" t="s">
        <v>2</v>
      </c>
      <c r="B5" s="66" t="s">
        <v>107</v>
      </c>
      <c r="C5" s="321">
        <v>1.8550549452046698E-2</v>
      </c>
      <c r="D5" s="2" t="s">
        <v>551</v>
      </c>
    </row>
    <row r="6" spans="1:4">
      <c r="A6" s="81"/>
      <c r="B6" s="66" t="s">
        <v>172</v>
      </c>
      <c r="C6" s="321">
        <v>8.3565028725725472E-3</v>
      </c>
    </row>
    <row r="7" spans="1:4">
      <c r="A7" s="118"/>
      <c r="B7" s="67" t="s">
        <v>173</v>
      </c>
      <c r="C7" s="322">
        <v>5.2234646094088076E-4</v>
      </c>
    </row>
    <row r="8" spans="1:4">
      <c r="A8" s="81" t="s">
        <v>3</v>
      </c>
      <c r="B8" s="66" t="s">
        <v>107</v>
      </c>
      <c r="C8" s="321">
        <v>0</v>
      </c>
    </row>
    <row r="9" spans="1:4">
      <c r="A9" s="81"/>
      <c r="B9" s="66" t="s">
        <v>172</v>
      </c>
      <c r="C9" s="321">
        <v>0</v>
      </c>
    </row>
    <row r="10" spans="1:4">
      <c r="A10" s="81"/>
      <c r="B10" s="66" t="s">
        <v>173</v>
      </c>
      <c r="C10" s="321">
        <v>0</v>
      </c>
    </row>
    <row r="11" spans="1:4" ht="15" thickBot="1">
      <c r="A11" s="82"/>
      <c r="B11" s="83" t="s">
        <v>181</v>
      </c>
      <c r="C11" s="323">
        <v>8.9415267430537473E-2</v>
      </c>
    </row>
    <row r="12" spans="1:4" ht="15" thickBot="1">
      <c r="A12" s="90" t="s">
        <v>177</v>
      </c>
      <c r="B12" s="144"/>
      <c r="C12" s="145"/>
    </row>
    <row r="13" spans="1:4">
      <c r="A13" s="113" t="s">
        <v>178</v>
      </c>
      <c r="B13" s="114"/>
      <c r="C13" s="115"/>
    </row>
    <row r="14" spans="1:4">
      <c r="A14" s="120"/>
      <c r="B14" s="80"/>
      <c r="C14" s="122" t="s">
        <v>179</v>
      </c>
    </row>
    <row r="15" spans="1:4">
      <c r="A15" s="81" t="s">
        <v>2</v>
      </c>
      <c r="B15" s="66" t="s">
        <v>172</v>
      </c>
      <c r="C15" s="217">
        <f>Data_a!C6</f>
        <v>0</v>
      </c>
    </row>
    <row r="16" spans="1:4">
      <c r="A16" s="118"/>
      <c r="B16" s="67" t="s">
        <v>173</v>
      </c>
      <c r="C16" s="218">
        <f>Data_a!C7</f>
        <v>0.95</v>
      </c>
    </row>
    <row r="17" spans="1:19" ht="15" thickBot="1">
      <c r="A17" s="82" t="s">
        <v>3</v>
      </c>
      <c r="B17" s="83" t="s">
        <v>173</v>
      </c>
      <c r="C17" s="219">
        <f>Data_a!C8</f>
        <v>0.95</v>
      </c>
    </row>
    <row r="18" spans="1:19">
      <c r="A18" s="113" t="s">
        <v>201</v>
      </c>
      <c r="B18" s="114"/>
      <c r="C18" s="115"/>
    </row>
    <row r="19" spans="1:19">
      <c r="A19" s="120"/>
      <c r="B19" s="80"/>
      <c r="C19" s="122" t="s">
        <v>174</v>
      </c>
    </row>
    <row r="20" spans="1:19">
      <c r="A20" s="81" t="s">
        <v>2</v>
      </c>
      <c r="B20" s="66" t="s">
        <v>107</v>
      </c>
      <c r="C20" s="116">
        <f>C5</f>
        <v>1.8550549452046698E-2</v>
      </c>
    </row>
    <row r="21" spans="1:19">
      <c r="A21" s="81"/>
      <c r="B21" s="66" t="s">
        <v>172</v>
      </c>
      <c r="C21" s="116">
        <f>C6*(1-C15)</f>
        <v>8.3565028725725472E-3</v>
      </c>
    </row>
    <row r="22" spans="1:19">
      <c r="A22" s="118"/>
      <c r="B22" s="67" t="s">
        <v>173</v>
      </c>
      <c r="C22" s="119">
        <f>C7*(1-C16)</f>
        <v>2.6117323047044062E-5</v>
      </c>
    </row>
    <row r="23" spans="1:19">
      <c r="A23" s="81" t="s">
        <v>3</v>
      </c>
      <c r="B23" s="66" t="s">
        <v>107</v>
      </c>
      <c r="C23" s="116">
        <f t="shared" ref="C23:C26" si="0">C8</f>
        <v>0</v>
      </c>
    </row>
    <row r="24" spans="1:19">
      <c r="A24" s="81"/>
      <c r="B24" s="66" t="s">
        <v>172</v>
      </c>
      <c r="C24" s="116">
        <f t="shared" si="0"/>
        <v>0</v>
      </c>
    </row>
    <row r="25" spans="1:19">
      <c r="A25" s="81"/>
      <c r="B25" s="66" t="s">
        <v>173</v>
      </c>
      <c r="C25" s="116">
        <f>C10*(1-C17)</f>
        <v>0</v>
      </c>
    </row>
    <row r="26" spans="1:19" ht="15" thickBot="1">
      <c r="A26" s="82"/>
      <c r="B26" s="83" t="s">
        <v>181</v>
      </c>
      <c r="C26" s="117">
        <f t="shared" si="0"/>
        <v>8.9415267430537473E-2</v>
      </c>
    </row>
    <row r="27" spans="1:19" ht="15" thickBot="1">
      <c r="D27" s="90" t="s">
        <v>180</v>
      </c>
      <c r="E27" s="144"/>
      <c r="F27" s="144"/>
      <c r="G27" s="144"/>
      <c r="H27" s="144"/>
      <c r="I27" s="144"/>
      <c r="J27" s="144"/>
      <c r="K27" s="158"/>
      <c r="L27" s="144"/>
      <c r="M27" s="144"/>
      <c r="N27" s="144"/>
      <c r="O27" s="144"/>
      <c r="P27" s="144"/>
      <c r="Q27" s="144"/>
      <c r="R27" s="145"/>
      <c r="S27" s="145"/>
    </row>
    <row r="28" spans="1:19" s="70" customFormat="1" ht="15" thickBot="1">
      <c r="A28" s="112"/>
      <c r="D28" s="137" t="s">
        <v>183</v>
      </c>
      <c r="E28" s="138"/>
      <c r="F28" s="138"/>
      <c r="G28" s="138"/>
      <c r="H28" s="138"/>
      <c r="I28" s="139"/>
      <c r="K28" s="137" t="s">
        <v>188</v>
      </c>
      <c r="L28" s="138"/>
      <c r="M28" s="138"/>
      <c r="N28" s="138"/>
      <c r="O28" s="138"/>
      <c r="P28" s="139"/>
      <c r="R28" s="171" t="s">
        <v>373</v>
      </c>
      <c r="S28" s="171" t="s">
        <v>374</v>
      </c>
    </row>
    <row r="29" spans="1:19" s="70" customFormat="1" ht="15" thickBot="1">
      <c r="A29" s="112"/>
      <c r="D29" s="94" t="s">
        <v>162</v>
      </c>
      <c r="E29" s="142"/>
      <c r="F29" s="142"/>
      <c r="G29" s="142"/>
      <c r="H29" s="142"/>
      <c r="I29" s="143"/>
      <c r="K29" s="94" t="s">
        <v>162</v>
      </c>
      <c r="L29" s="482"/>
      <c r="M29" s="482"/>
      <c r="N29" s="482"/>
      <c r="O29" s="482"/>
      <c r="P29" s="483"/>
      <c r="R29" s="165" t="s">
        <v>162</v>
      </c>
      <c r="S29" s="165" t="s">
        <v>162</v>
      </c>
    </row>
    <row r="30" spans="1:19">
      <c r="D30" s="160"/>
      <c r="E30" s="161" t="s">
        <v>190</v>
      </c>
      <c r="F30" s="161" t="s">
        <v>192</v>
      </c>
      <c r="G30" s="161" t="s">
        <v>191</v>
      </c>
      <c r="H30" s="161" t="s">
        <v>193</v>
      </c>
      <c r="I30" s="162" t="s">
        <v>194</v>
      </c>
      <c r="K30" s="160"/>
      <c r="L30" s="161" t="s">
        <v>190</v>
      </c>
      <c r="M30" s="161" t="s">
        <v>192</v>
      </c>
      <c r="N30" s="161" t="s">
        <v>191</v>
      </c>
      <c r="O30" s="161" t="s">
        <v>193</v>
      </c>
      <c r="P30" s="162" t="s">
        <v>194</v>
      </c>
      <c r="R30" s="167"/>
      <c r="S30" s="167"/>
    </row>
    <row r="31" spans="1:19">
      <c r="D31" s="127"/>
      <c r="E31" s="96" t="s">
        <v>174</v>
      </c>
      <c r="F31" s="96" t="s">
        <v>174</v>
      </c>
      <c r="G31" s="96" t="s">
        <v>174</v>
      </c>
      <c r="H31" s="96" t="s">
        <v>174</v>
      </c>
      <c r="I31" s="128" t="s">
        <v>174</v>
      </c>
      <c r="K31" s="127"/>
      <c r="L31" s="96" t="s">
        <v>142</v>
      </c>
      <c r="M31" s="96" t="s">
        <v>142</v>
      </c>
      <c r="N31" s="96" t="s">
        <v>142</v>
      </c>
      <c r="O31" s="96" t="s">
        <v>142</v>
      </c>
      <c r="P31" s="128" t="s">
        <v>142</v>
      </c>
      <c r="R31" s="168"/>
      <c r="S31" s="168"/>
    </row>
    <row r="32" spans="1:19">
      <c r="D32" s="129" t="s">
        <v>107</v>
      </c>
      <c r="E32" s="135">
        <f>$C20*Data_b!B39</f>
        <v>1.8550549452046698E-2</v>
      </c>
      <c r="F32" s="135">
        <f>$C20*Data_b!C39</f>
        <v>2.4115714287660708E-2</v>
      </c>
      <c r="G32" s="135">
        <f>$C20*Data_b!D39</f>
        <v>2.7825824178070047E-2</v>
      </c>
      <c r="H32" s="135">
        <f>$C20*Data_b!E39</f>
        <v>3.7101098904093396E-2</v>
      </c>
      <c r="I32" s="136">
        <f>$C20*Data_b!F39</f>
        <v>4.0811208794502736E-2</v>
      </c>
      <c r="K32" s="129" t="s">
        <v>107</v>
      </c>
      <c r="L32" s="159">
        <f>Inputs!B12*E32</f>
        <v>1874634.6350827499</v>
      </c>
      <c r="M32" s="159">
        <f>Inputs!C12*F32</f>
        <v>91191.482657348723</v>
      </c>
      <c r="N32" s="159">
        <f>Inputs!D12*G32</f>
        <v>88936.488790431133</v>
      </c>
      <c r="O32" s="159">
        <f>Inputs!E12*H32</f>
        <v>231871.8955726524</v>
      </c>
      <c r="P32" s="163">
        <f>Inputs!F12*I32</f>
        <v>0</v>
      </c>
      <c r="R32" s="169">
        <f>SUM(L32:P32)</f>
        <v>2286634.502103182</v>
      </c>
      <c r="S32" s="169">
        <f>R32*$U$77</f>
        <v>28483069.435483482</v>
      </c>
    </row>
    <row r="33" spans="4:19">
      <c r="D33" s="129" t="s">
        <v>172</v>
      </c>
      <c r="E33" s="135">
        <f>$C21*Data_b!B40</f>
        <v>8.3565028725725472E-3</v>
      </c>
      <c r="F33" s="135">
        <f>$C21*Data_b!C40</f>
        <v>1.0863453734344311E-2</v>
      </c>
      <c r="G33" s="135">
        <f>$C21*Data_b!D40</f>
        <v>1.2534754308858821E-2</v>
      </c>
      <c r="H33" s="135">
        <f>$C21*Data_b!E40</f>
        <v>1.6713005745145094E-2</v>
      </c>
      <c r="I33" s="136">
        <f>$C21*Data_b!F40</f>
        <v>1.8384306319659604E-2</v>
      </c>
      <c r="K33" s="129" t="s">
        <v>172</v>
      </c>
      <c r="L33" s="159">
        <f>Inputs!B13*E33</f>
        <v>483950.68362044828</v>
      </c>
      <c r="M33" s="159">
        <f>Inputs!C13*F33</f>
        <v>331.01528080533495</v>
      </c>
      <c r="N33" s="159">
        <f>Inputs!D13*G33</f>
        <v>65896.204669939703</v>
      </c>
      <c r="O33" s="159">
        <f>Inputs!E13*H33</f>
        <v>144364.61384916006</v>
      </c>
      <c r="P33" s="163">
        <f>Inputs!F13*I33</f>
        <v>0</v>
      </c>
      <c r="R33" s="169">
        <f t="shared" ref="R33:R34" si="1">SUM(L33:P33)</f>
        <v>694542.51742035337</v>
      </c>
      <c r="S33" s="169">
        <f t="shared" ref="S33:S34" si="2">R33*$U$77</f>
        <v>8651449.4255132806</v>
      </c>
    </row>
    <row r="34" spans="4:19">
      <c r="D34" s="129" t="s">
        <v>173</v>
      </c>
      <c r="E34" s="98"/>
      <c r="F34" s="98"/>
      <c r="G34" s="98"/>
      <c r="H34" s="135">
        <f>$C22*Data_b!E41</f>
        <v>2.6117323047044062E-5</v>
      </c>
      <c r="I34" s="136">
        <f>$C22*Data_b!F41</f>
        <v>2.8729055351748469E-5</v>
      </c>
      <c r="K34" s="129" t="s">
        <v>173</v>
      </c>
      <c r="L34" s="98"/>
      <c r="M34" s="98"/>
      <c r="N34" s="98"/>
      <c r="O34" s="159">
        <f>Inputs!E14*H34</f>
        <v>118.90655095594606</v>
      </c>
      <c r="P34" s="163">
        <f>Inputs!F14*I34</f>
        <v>0</v>
      </c>
      <c r="R34" s="169">
        <f t="shared" si="1"/>
        <v>118.90655095594606</v>
      </c>
      <c r="S34" s="169">
        <f t="shared" si="2"/>
        <v>1481.1390032368363</v>
      </c>
    </row>
    <row r="35" spans="4:19" ht="15" thickBot="1">
      <c r="D35" s="149"/>
      <c r="E35" s="150"/>
      <c r="F35" s="150"/>
      <c r="G35" s="150"/>
      <c r="H35" s="150"/>
      <c r="I35" s="134"/>
      <c r="K35" s="149"/>
      <c r="L35" s="150"/>
      <c r="M35" s="150"/>
      <c r="N35" s="150"/>
      <c r="O35" s="150"/>
      <c r="P35" s="134"/>
      <c r="R35" s="168"/>
      <c r="S35" s="168"/>
    </row>
    <row r="36" spans="4:19" ht="15" thickBot="1">
      <c r="D36" s="94" t="s">
        <v>163</v>
      </c>
      <c r="E36" s="142"/>
      <c r="F36" s="142"/>
      <c r="G36" s="142"/>
      <c r="H36" s="142"/>
      <c r="I36" s="143"/>
      <c r="K36" s="94" t="s">
        <v>163</v>
      </c>
      <c r="L36" s="142"/>
      <c r="M36" s="142"/>
      <c r="N36" s="142"/>
      <c r="O36" s="142"/>
      <c r="P36" s="143"/>
      <c r="R36" s="165" t="s">
        <v>163</v>
      </c>
      <c r="S36" s="165" t="s">
        <v>163</v>
      </c>
    </row>
    <row r="37" spans="4:19">
      <c r="D37" s="183" t="s">
        <v>164</v>
      </c>
      <c r="E37" s="161" t="s">
        <v>190</v>
      </c>
      <c r="F37" s="161" t="s">
        <v>192</v>
      </c>
      <c r="G37" s="161" t="s">
        <v>191</v>
      </c>
      <c r="H37" s="161" t="s">
        <v>193</v>
      </c>
      <c r="I37" s="162" t="s">
        <v>194</v>
      </c>
      <c r="K37" s="151" t="s">
        <v>164</v>
      </c>
      <c r="L37" s="140" t="s">
        <v>190</v>
      </c>
      <c r="M37" s="140" t="s">
        <v>192</v>
      </c>
      <c r="N37" s="140" t="s">
        <v>191</v>
      </c>
      <c r="O37" s="140" t="s">
        <v>193</v>
      </c>
      <c r="P37" s="141" t="s">
        <v>194</v>
      </c>
      <c r="R37" s="168"/>
      <c r="S37" s="168"/>
    </row>
    <row r="38" spans="4:19">
      <c r="D38" s="148"/>
      <c r="E38" s="96" t="s">
        <v>174</v>
      </c>
      <c r="F38" s="96" t="s">
        <v>174</v>
      </c>
      <c r="G38" s="96" t="s">
        <v>174</v>
      </c>
      <c r="H38" s="96" t="s">
        <v>174</v>
      </c>
      <c r="I38" s="128" t="s">
        <v>174</v>
      </c>
      <c r="K38" s="148"/>
      <c r="L38" s="96" t="s">
        <v>142</v>
      </c>
      <c r="M38" s="96" t="s">
        <v>142</v>
      </c>
      <c r="N38" s="96" t="s">
        <v>142</v>
      </c>
      <c r="O38" s="96" t="s">
        <v>142</v>
      </c>
      <c r="P38" s="128" t="s">
        <v>142</v>
      </c>
      <c r="R38" s="168"/>
      <c r="S38" s="168"/>
    </row>
    <row r="39" spans="4:19">
      <c r="D39" s="129" t="s">
        <v>107</v>
      </c>
      <c r="E39" s="135">
        <f>$C23*Data_b!B39</f>
        <v>0</v>
      </c>
      <c r="F39" s="135">
        <f>$C23*Data_b!C39</f>
        <v>0</v>
      </c>
      <c r="G39" s="135">
        <f>$C23*Data_b!D39</f>
        <v>0</v>
      </c>
      <c r="H39" s="135">
        <f>$C23*Data_b!E39</f>
        <v>0</v>
      </c>
      <c r="I39" s="136">
        <f>$C23*Data_b!F39</f>
        <v>0</v>
      </c>
      <c r="K39" s="129" t="s">
        <v>107</v>
      </c>
      <c r="L39" s="159">
        <f>Inputs!B19*E39</f>
        <v>0</v>
      </c>
      <c r="M39" s="159">
        <f>Inputs!C19*F39</f>
        <v>0</v>
      </c>
      <c r="N39" s="159">
        <f>Inputs!D19*G39</f>
        <v>0</v>
      </c>
      <c r="O39" s="159">
        <f>Inputs!E19*H39</f>
        <v>0</v>
      </c>
      <c r="P39" s="159">
        <f>Inputs!F19*I39</f>
        <v>0</v>
      </c>
      <c r="R39" s="169">
        <f>SUM(L39:P39)</f>
        <v>0</v>
      </c>
      <c r="S39" s="169">
        <f>R39*$U$78</f>
        <v>0</v>
      </c>
    </row>
    <row r="40" spans="4:19">
      <c r="D40" s="129" t="s">
        <v>172</v>
      </c>
      <c r="E40" s="135">
        <f>$C24*Data_b!B40</f>
        <v>0</v>
      </c>
      <c r="F40" s="135">
        <f>$C24*Data_b!C40</f>
        <v>0</v>
      </c>
      <c r="G40" s="135">
        <f>$C24*Data_b!D40</f>
        <v>0</v>
      </c>
      <c r="H40" s="135">
        <f>$C24*Data_b!E40</f>
        <v>0</v>
      </c>
      <c r="I40" s="136">
        <f>$C24*Data_b!F40</f>
        <v>0</v>
      </c>
      <c r="K40" s="129" t="s">
        <v>172</v>
      </c>
      <c r="L40" s="159">
        <f>Inputs!B20*E40</f>
        <v>0</v>
      </c>
      <c r="M40" s="159">
        <f>Inputs!C20*F40</f>
        <v>0</v>
      </c>
      <c r="N40" s="159">
        <f>Inputs!D20*G40</f>
        <v>0</v>
      </c>
      <c r="O40" s="159">
        <f>Inputs!E20*H40</f>
        <v>0</v>
      </c>
      <c r="P40" s="159">
        <f>Inputs!F20*I40</f>
        <v>0</v>
      </c>
      <c r="R40" s="169">
        <f t="shared" ref="R40:R41" si="3">SUM(L40:P40)</f>
        <v>0</v>
      </c>
      <c r="S40" s="169">
        <f t="shared" ref="S40:S41" si="4">R40*$U$78</f>
        <v>0</v>
      </c>
    </row>
    <row r="41" spans="4:19">
      <c r="D41" s="129" t="s">
        <v>173</v>
      </c>
      <c r="E41" s="98"/>
      <c r="F41" s="98"/>
      <c r="G41" s="98"/>
      <c r="H41" s="135">
        <f>$C25*Data_b!E41</f>
        <v>0</v>
      </c>
      <c r="I41" s="136">
        <f>$C25*Data_b!F41</f>
        <v>0</v>
      </c>
      <c r="K41" s="129" t="s">
        <v>173</v>
      </c>
      <c r="L41" s="98"/>
      <c r="M41" s="98"/>
      <c r="N41" s="98"/>
      <c r="O41" s="159">
        <f>Inputs!E21*H41</f>
        <v>0</v>
      </c>
      <c r="P41" s="159">
        <f>Inputs!F21*I41</f>
        <v>0</v>
      </c>
      <c r="R41" s="169">
        <f t="shared" si="3"/>
        <v>0</v>
      </c>
      <c r="S41" s="169">
        <f t="shared" si="4"/>
        <v>0</v>
      </c>
    </row>
    <row r="42" spans="4:19">
      <c r="D42" s="151" t="s">
        <v>185</v>
      </c>
      <c r="E42" s="140" t="s">
        <v>190</v>
      </c>
      <c r="F42" s="140" t="s">
        <v>192</v>
      </c>
      <c r="G42" s="140" t="s">
        <v>191</v>
      </c>
      <c r="H42" s="140" t="s">
        <v>193</v>
      </c>
      <c r="I42" s="141" t="s">
        <v>194</v>
      </c>
      <c r="K42" s="151" t="s">
        <v>185</v>
      </c>
      <c r="L42" s="140" t="s">
        <v>190</v>
      </c>
      <c r="M42" s="140" t="s">
        <v>192</v>
      </c>
      <c r="N42" s="140" t="s">
        <v>191</v>
      </c>
      <c r="O42" s="140" t="s">
        <v>193</v>
      </c>
      <c r="P42" s="141" t="s">
        <v>194</v>
      </c>
      <c r="R42" s="168"/>
      <c r="S42" s="168"/>
    </row>
    <row r="43" spans="4:19">
      <c r="D43" s="148"/>
      <c r="E43" s="96" t="s">
        <v>184</v>
      </c>
      <c r="F43" s="96" t="s">
        <v>184</v>
      </c>
      <c r="G43" s="96" t="s">
        <v>184</v>
      </c>
      <c r="H43" s="96" t="s">
        <v>184</v>
      </c>
      <c r="I43" s="128" t="s">
        <v>184</v>
      </c>
      <c r="K43" s="148"/>
      <c r="L43" s="96" t="s">
        <v>142</v>
      </c>
      <c r="M43" s="96" t="s">
        <v>142</v>
      </c>
      <c r="N43" s="96" t="s">
        <v>142</v>
      </c>
      <c r="O43" s="96" t="s">
        <v>142</v>
      </c>
      <c r="P43" s="128" t="s">
        <v>142</v>
      </c>
      <c r="R43" s="168"/>
      <c r="S43" s="168"/>
    </row>
    <row r="44" spans="4:19">
      <c r="D44" s="129" t="s">
        <v>107</v>
      </c>
      <c r="E44" s="273">
        <f>UCC!$B$21</f>
        <v>1.7297436021619313E-5</v>
      </c>
      <c r="F44" s="273">
        <f>UCC!$B$21</f>
        <v>1.7297436021619313E-5</v>
      </c>
      <c r="G44" s="273">
        <f>UCC!$B$21</f>
        <v>1.7297436021619313E-5</v>
      </c>
      <c r="H44" s="273">
        <f>UCC!$B$21</f>
        <v>1.7297436021619313E-5</v>
      </c>
      <c r="I44" s="274">
        <f>UCC!$B$21</f>
        <v>1.7297436021619313E-5</v>
      </c>
      <c r="K44" s="129" t="s">
        <v>107</v>
      </c>
      <c r="L44" s="159">
        <f>Inputs!B24*E44</f>
        <v>0</v>
      </c>
      <c r="M44" s="159">
        <f>Inputs!C24*F44</f>
        <v>0</v>
      </c>
      <c r="N44" s="159">
        <f>Inputs!D24*G44</f>
        <v>0</v>
      </c>
      <c r="O44" s="159">
        <f>Inputs!E24*H44</f>
        <v>0</v>
      </c>
      <c r="P44" s="163">
        <f>Inputs!F24*I44</f>
        <v>0</v>
      </c>
      <c r="R44" s="169">
        <f t="shared" ref="R44:R46" si="5">SUM(L44:P44)</f>
        <v>0</v>
      </c>
      <c r="S44" s="169">
        <f t="shared" ref="S44:S46" si="6">R44*$U$78</f>
        <v>0</v>
      </c>
    </row>
    <row r="45" spans="4:19">
      <c r="D45" s="129" t="s">
        <v>172</v>
      </c>
      <c r="E45" s="273">
        <f>UCC!$B$21</f>
        <v>1.7297436021619313E-5</v>
      </c>
      <c r="F45" s="273">
        <f>UCC!$B$21</f>
        <v>1.7297436021619313E-5</v>
      </c>
      <c r="G45" s="273">
        <f>UCC!$B$21</f>
        <v>1.7297436021619313E-5</v>
      </c>
      <c r="H45" s="273">
        <f>UCC!$B$21</f>
        <v>1.7297436021619313E-5</v>
      </c>
      <c r="I45" s="274">
        <f>UCC!$B$21</f>
        <v>1.7297436021619313E-5</v>
      </c>
      <c r="K45" s="129" t="s">
        <v>172</v>
      </c>
      <c r="L45" s="159">
        <f>Inputs!B25*E45</f>
        <v>0</v>
      </c>
      <c r="M45" s="159">
        <f>Inputs!C25*F45</f>
        <v>0</v>
      </c>
      <c r="N45" s="159">
        <f>Inputs!D25*G45</f>
        <v>0</v>
      </c>
      <c r="O45" s="159">
        <f>Inputs!E25*H45</f>
        <v>0</v>
      </c>
      <c r="P45" s="163">
        <f>Inputs!F25*I45</f>
        <v>0</v>
      </c>
      <c r="R45" s="169">
        <f t="shared" si="5"/>
        <v>0</v>
      </c>
      <c r="S45" s="169">
        <f t="shared" si="6"/>
        <v>0</v>
      </c>
    </row>
    <row r="46" spans="4:19">
      <c r="D46" s="129" t="s">
        <v>173</v>
      </c>
      <c r="E46" s="275"/>
      <c r="F46" s="275"/>
      <c r="G46" s="275"/>
      <c r="H46" s="273">
        <f>UCC!$B$21</f>
        <v>1.7297436021619313E-5</v>
      </c>
      <c r="I46" s="274">
        <f>UCC!$B$21</f>
        <v>1.7297436021619313E-5</v>
      </c>
      <c r="K46" s="129" t="s">
        <v>173</v>
      </c>
      <c r="L46" s="98"/>
      <c r="M46" s="98"/>
      <c r="N46" s="98"/>
      <c r="O46" s="159">
        <f>Inputs!E26*H46</f>
        <v>0</v>
      </c>
      <c r="P46" s="163">
        <f>Inputs!F26*I46</f>
        <v>0</v>
      </c>
      <c r="R46" s="169">
        <f t="shared" si="5"/>
        <v>0</v>
      </c>
      <c r="S46" s="169">
        <f t="shared" si="6"/>
        <v>0</v>
      </c>
    </row>
    <row r="47" spans="4:19" ht="15" thickBot="1">
      <c r="D47" s="149"/>
      <c r="E47" s="150"/>
      <c r="F47" s="150"/>
      <c r="G47" s="150"/>
      <c r="H47" s="150"/>
      <c r="I47" s="134"/>
      <c r="K47" s="130"/>
      <c r="L47" s="29"/>
      <c r="M47" s="29"/>
      <c r="N47" s="29"/>
      <c r="O47" s="29"/>
      <c r="P47" s="131"/>
      <c r="R47" s="168"/>
      <c r="S47" s="168"/>
    </row>
    <row r="48" spans="4:19" ht="15" thickBot="1">
      <c r="D48" s="94" t="s">
        <v>186</v>
      </c>
      <c r="E48" s="142"/>
      <c r="F48" s="142"/>
      <c r="G48" s="142"/>
      <c r="H48" s="142"/>
      <c r="I48" s="143"/>
      <c r="K48" s="94" t="s">
        <v>186</v>
      </c>
      <c r="L48" s="142"/>
      <c r="M48" s="142"/>
      <c r="N48" s="142"/>
      <c r="O48" s="142"/>
      <c r="P48" s="143"/>
      <c r="R48" s="165" t="s">
        <v>186</v>
      </c>
      <c r="S48" s="165" t="s">
        <v>186</v>
      </c>
    </row>
    <row r="49" spans="4:19">
      <c r="D49" s="153" t="s">
        <v>187</v>
      </c>
      <c r="E49" s="155" t="s">
        <v>164</v>
      </c>
      <c r="F49" s="156" t="s">
        <v>164</v>
      </c>
      <c r="G49" s="155" t="s">
        <v>185</v>
      </c>
      <c r="H49" s="157" t="s">
        <v>185</v>
      </c>
      <c r="I49" s="152"/>
      <c r="K49" s="153" t="s">
        <v>187</v>
      </c>
      <c r="L49" s="155" t="s">
        <v>164</v>
      </c>
      <c r="M49" s="156" t="s">
        <v>164</v>
      </c>
      <c r="N49" s="155" t="s">
        <v>185</v>
      </c>
      <c r="O49" s="155" t="s">
        <v>185</v>
      </c>
      <c r="P49" s="152"/>
      <c r="R49" s="168"/>
      <c r="S49" s="168"/>
    </row>
    <row r="50" spans="4:19">
      <c r="D50" s="154"/>
      <c r="E50" s="104" t="s">
        <v>539</v>
      </c>
      <c r="F50" s="104" t="s">
        <v>540</v>
      </c>
      <c r="G50" s="104" t="s">
        <v>539</v>
      </c>
      <c r="H50" s="104" t="s">
        <v>540</v>
      </c>
      <c r="I50" s="131"/>
      <c r="K50" s="154"/>
      <c r="L50" s="104" t="s">
        <v>539</v>
      </c>
      <c r="M50" s="104" t="s">
        <v>540</v>
      </c>
      <c r="N50" s="104" t="s">
        <v>539</v>
      </c>
      <c r="O50" s="104" t="s">
        <v>540</v>
      </c>
      <c r="P50" s="131"/>
      <c r="R50" s="168"/>
      <c r="S50" s="168"/>
    </row>
    <row r="51" spans="4:19">
      <c r="D51" s="127"/>
      <c r="E51" s="105" t="s">
        <v>174</v>
      </c>
      <c r="F51" s="105" t="s">
        <v>174</v>
      </c>
      <c r="G51" s="105" t="s">
        <v>184</v>
      </c>
      <c r="H51" s="105" t="s">
        <v>184</v>
      </c>
      <c r="I51" s="131"/>
      <c r="K51" s="127"/>
      <c r="L51" s="105" t="s">
        <v>142</v>
      </c>
      <c r="M51" s="105" t="s">
        <v>142</v>
      </c>
      <c r="N51" s="105" t="s">
        <v>142</v>
      </c>
      <c r="O51" s="105" t="s">
        <v>142</v>
      </c>
      <c r="P51" s="131"/>
      <c r="R51" s="168"/>
      <c r="S51" s="168"/>
    </row>
    <row r="52" spans="4:19">
      <c r="D52" s="129" t="s">
        <v>536</v>
      </c>
      <c r="E52" s="135">
        <f>$C$11</f>
        <v>8.9415267430537473E-2</v>
      </c>
      <c r="F52" s="135">
        <f t="shared" ref="F52:F53" si="7">$C$11</f>
        <v>8.9415267430537473E-2</v>
      </c>
      <c r="G52" s="273">
        <f>H52*Data_b!$B$54/Data_b!$B$55</f>
        <v>4.3252057330422499E-4</v>
      </c>
      <c r="H52" s="273">
        <f>UCC!$B$21</f>
        <v>1.7297436021619313E-5</v>
      </c>
      <c r="I52" s="131"/>
      <c r="K52" s="129" t="s">
        <v>536</v>
      </c>
      <c r="L52" s="159">
        <f>Inputs!B32*E52</f>
        <v>77357.582311736798</v>
      </c>
      <c r="M52" s="159">
        <f>Inputs!C32*F52</f>
        <v>9483034.5804456174</v>
      </c>
      <c r="N52" s="159">
        <f>Inputs!D32*G52</f>
        <v>87786.795399656316</v>
      </c>
      <c r="O52" s="159">
        <f>Inputs!E32*H52</f>
        <v>430376.55491333542</v>
      </c>
      <c r="P52" s="131"/>
      <c r="R52" s="169">
        <f t="shared" ref="R52:R54" si="8">SUM(L52:P52)</f>
        <v>10078555.513070345</v>
      </c>
      <c r="S52" s="169">
        <f t="shared" ref="S52:S54" si="9">R52*$U$78</f>
        <v>19087818.995393373</v>
      </c>
    </row>
    <row r="53" spans="4:19">
      <c r="D53" s="129" t="s">
        <v>537</v>
      </c>
      <c r="E53" s="135">
        <f t="shared" ref="E53" si="10">$C$11</f>
        <v>8.9415267430537473E-2</v>
      </c>
      <c r="F53" s="135">
        <f t="shared" si="7"/>
        <v>8.9415267430537473E-2</v>
      </c>
      <c r="G53" s="273">
        <f>H53*Data_b!$B$54/Data_b!$B$55</f>
        <v>4.3252057330422499E-4</v>
      </c>
      <c r="H53" s="273">
        <f>UCC!$B$21</f>
        <v>1.7297436021619313E-5</v>
      </c>
      <c r="I53" s="131"/>
      <c r="K53" s="129" t="s">
        <v>537</v>
      </c>
      <c r="L53" s="159">
        <f>Inputs!B33*E53</f>
        <v>75579.372486504682</v>
      </c>
      <c r="M53" s="159">
        <f>Inputs!C33*F53</f>
        <v>5054184.9815897197</v>
      </c>
      <c r="N53" s="159">
        <f>Inputs!D33*G53</f>
        <v>5424.6094498573129</v>
      </c>
      <c r="O53" s="159">
        <f>Inputs!E33*H53</f>
        <v>279160.8074311422</v>
      </c>
      <c r="P53" s="131"/>
      <c r="R53" s="169">
        <f t="shared" si="8"/>
        <v>5414349.7709572231</v>
      </c>
      <c r="S53" s="169">
        <f t="shared" si="9"/>
        <v>10254259.975227037</v>
      </c>
    </row>
    <row r="54" spans="4:19">
      <c r="D54" s="129" t="s">
        <v>538</v>
      </c>
      <c r="E54" s="135">
        <f t="array" ref="E54:H54">TRANSPOSE('Short uses'!C26:C29)</f>
        <v>5.0509097063663869E-2</v>
      </c>
      <c r="F54" s="135">
        <v>5.0509097063663869E-2</v>
      </c>
      <c r="G54" s="273">
        <v>1.5549449524967555E-3</v>
      </c>
      <c r="H54" s="273">
        <v>1.1397218152141499E-3</v>
      </c>
      <c r="I54" s="131"/>
      <c r="K54" s="129" t="s">
        <v>538</v>
      </c>
      <c r="L54" s="159">
        <f>Inputs!B34*E54</f>
        <v>0</v>
      </c>
      <c r="M54" s="159">
        <f>Inputs!C34*F54</f>
        <v>0</v>
      </c>
      <c r="N54" s="159">
        <f>Inputs!D34*G54</f>
        <v>0</v>
      </c>
      <c r="O54" s="159">
        <f>Inputs!E34*H54</f>
        <v>0</v>
      </c>
      <c r="P54" s="131"/>
      <c r="R54" s="169">
        <f t="shared" si="8"/>
        <v>0</v>
      </c>
      <c r="S54" s="169">
        <f t="shared" si="9"/>
        <v>0</v>
      </c>
    </row>
    <row r="55" spans="4:19">
      <c r="D55" s="154" t="s">
        <v>187</v>
      </c>
      <c r="E55" s="103" t="s">
        <v>164</v>
      </c>
      <c r="F55" s="99" t="s">
        <v>164</v>
      </c>
      <c r="G55" s="103" t="s">
        <v>185</v>
      </c>
      <c r="H55" s="100"/>
      <c r="I55" s="131"/>
      <c r="K55" s="154" t="s">
        <v>187</v>
      </c>
      <c r="L55" s="103" t="s">
        <v>164</v>
      </c>
      <c r="M55" s="99" t="s">
        <v>164</v>
      </c>
      <c r="N55" s="103" t="s">
        <v>185</v>
      </c>
      <c r="O55" s="100"/>
      <c r="P55" s="131"/>
      <c r="R55" s="168"/>
      <c r="S55" s="168"/>
    </row>
    <row r="56" spans="4:19">
      <c r="D56" s="127"/>
      <c r="E56" s="104" t="s">
        <v>547</v>
      </c>
      <c r="F56" s="106" t="s">
        <v>548</v>
      </c>
      <c r="G56" s="104"/>
      <c r="H56" s="107"/>
      <c r="I56" s="131"/>
      <c r="K56" s="127"/>
      <c r="L56" s="104" t="s">
        <v>547</v>
      </c>
      <c r="M56" s="106" t="s">
        <v>548</v>
      </c>
      <c r="N56" s="104"/>
      <c r="O56" s="107"/>
      <c r="P56" s="131"/>
      <c r="R56" s="168"/>
      <c r="S56" s="168"/>
    </row>
    <row r="57" spans="4:19">
      <c r="D57" s="127"/>
      <c r="E57" s="105" t="s">
        <v>174</v>
      </c>
      <c r="F57" s="101" t="s">
        <v>174</v>
      </c>
      <c r="G57" s="105" t="s">
        <v>184</v>
      </c>
      <c r="H57" s="102"/>
      <c r="I57" s="131"/>
      <c r="K57" s="127"/>
      <c r="L57" s="105" t="s">
        <v>142</v>
      </c>
      <c r="M57" s="101" t="s">
        <v>142</v>
      </c>
      <c r="N57" s="105" t="s">
        <v>142</v>
      </c>
      <c r="O57" s="102"/>
      <c r="P57" s="131"/>
      <c r="R57" s="168"/>
      <c r="S57" s="168"/>
    </row>
    <row r="58" spans="4:19">
      <c r="D58" s="129" t="s">
        <v>541</v>
      </c>
      <c r="E58" s="135">
        <f>Data_b!B47*$C$26</f>
        <v>0.53649160458322487</v>
      </c>
      <c r="F58" s="135">
        <f>Data_b!C47*$C$26</f>
        <v>0.89415267430537471</v>
      </c>
      <c r="G58" s="273">
        <f>UCC!$B$21</f>
        <v>1.7297436021619313E-5</v>
      </c>
      <c r="H58" s="98"/>
      <c r="I58" s="131"/>
      <c r="K58" s="129" t="s">
        <v>541</v>
      </c>
      <c r="L58" s="159">
        <f>Inputs!B38*E58/2</f>
        <v>0</v>
      </c>
      <c r="M58" s="159">
        <f>Inputs!C38*F58/2</f>
        <v>0</v>
      </c>
      <c r="N58" s="159">
        <f>Inputs!D38*G58</f>
        <v>0</v>
      </c>
      <c r="O58" s="98"/>
      <c r="P58" s="131"/>
      <c r="R58" s="169">
        <f>SUM(L58:P58)</f>
        <v>0</v>
      </c>
      <c r="S58" s="169">
        <f>R58*$U$78</f>
        <v>0</v>
      </c>
    </row>
    <row r="59" spans="4:19">
      <c r="D59" s="154" t="s">
        <v>187</v>
      </c>
      <c r="E59" s="103" t="s">
        <v>164</v>
      </c>
      <c r="F59" s="99" t="s">
        <v>164</v>
      </c>
      <c r="G59" s="103" t="s">
        <v>185</v>
      </c>
      <c r="H59" s="100"/>
      <c r="I59" s="131"/>
      <c r="K59" s="154" t="s">
        <v>187</v>
      </c>
      <c r="L59" s="103" t="s">
        <v>164</v>
      </c>
      <c r="M59" s="99" t="s">
        <v>164</v>
      </c>
      <c r="N59" s="103" t="s">
        <v>185</v>
      </c>
      <c r="O59" s="100"/>
      <c r="P59" s="131"/>
      <c r="R59" s="168"/>
      <c r="S59" s="168"/>
    </row>
    <row r="60" spans="4:19">
      <c r="D60" s="127"/>
      <c r="E60" s="104" t="s">
        <v>547</v>
      </c>
      <c r="F60" s="106" t="s">
        <v>548</v>
      </c>
      <c r="G60" s="104"/>
      <c r="H60" s="107"/>
      <c r="I60" s="131"/>
      <c r="K60" s="127"/>
      <c r="L60" s="104" t="s">
        <v>547</v>
      </c>
      <c r="M60" s="106" t="s">
        <v>548</v>
      </c>
      <c r="N60" s="104"/>
      <c r="O60" s="107"/>
      <c r="P60" s="131"/>
      <c r="R60" s="168"/>
      <c r="S60" s="168"/>
    </row>
    <row r="61" spans="4:19">
      <c r="D61" s="127"/>
      <c r="E61" s="105" t="s">
        <v>174</v>
      </c>
      <c r="F61" s="101" t="s">
        <v>174</v>
      </c>
      <c r="G61" s="105" t="s">
        <v>184</v>
      </c>
      <c r="H61" s="102"/>
      <c r="I61" s="131"/>
      <c r="K61" s="127"/>
      <c r="L61" s="105" t="s">
        <v>142</v>
      </c>
      <c r="M61" s="101" t="s">
        <v>142</v>
      </c>
      <c r="N61" s="105" t="s">
        <v>142</v>
      </c>
      <c r="O61" s="102"/>
      <c r="P61" s="131"/>
      <c r="R61" s="168"/>
      <c r="S61" s="168"/>
    </row>
    <row r="62" spans="4:19">
      <c r="D62" s="129" t="s">
        <v>543</v>
      </c>
      <c r="E62" s="135">
        <f>Data_b!B46*$C$26</f>
        <v>0.13412290114580622</v>
      </c>
      <c r="F62" s="135">
        <f>Data_b!C46*$C$26</f>
        <v>0.26824580229161243</v>
      </c>
      <c r="G62" s="273">
        <f>UCC!$B$21</f>
        <v>1.7297436021619313E-5</v>
      </c>
      <c r="H62" s="98"/>
      <c r="I62" s="131"/>
      <c r="K62" s="129" t="s">
        <v>543</v>
      </c>
      <c r="L62" s="159">
        <f>Inputs!B42*E62/2</f>
        <v>2553934.1301615722</v>
      </c>
      <c r="M62" s="159">
        <f>Inputs!C42*F62/2</f>
        <v>5247181.2043166421</v>
      </c>
      <c r="N62" s="159">
        <f>Inputs!D42*G62</f>
        <v>71829.976764958119</v>
      </c>
      <c r="O62" s="98"/>
      <c r="P62" s="131"/>
      <c r="R62" s="169">
        <f>SUM(L62:P62)</f>
        <v>7872945.3112431727</v>
      </c>
      <c r="S62" s="169">
        <f>R62*$U$78</f>
        <v>14910604.487592878</v>
      </c>
    </row>
    <row r="63" spans="4:19">
      <c r="D63" s="154" t="s">
        <v>187</v>
      </c>
      <c r="E63" s="103" t="s">
        <v>164</v>
      </c>
      <c r="F63" s="99" t="s">
        <v>164</v>
      </c>
      <c r="G63" s="103" t="s">
        <v>185</v>
      </c>
      <c r="H63" s="100"/>
      <c r="I63" s="131"/>
      <c r="K63" s="154" t="s">
        <v>187</v>
      </c>
      <c r="L63" s="103" t="s">
        <v>164</v>
      </c>
      <c r="M63" s="99" t="s">
        <v>164</v>
      </c>
      <c r="N63" s="103" t="s">
        <v>185</v>
      </c>
      <c r="O63" s="100"/>
      <c r="P63" s="131"/>
      <c r="R63" s="168"/>
      <c r="S63" s="168"/>
    </row>
    <row r="64" spans="4:19">
      <c r="D64" s="127"/>
      <c r="E64" s="104" t="s">
        <v>545</v>
      </c>
      <c r="F64" s="106" t="s">
        <v>546</v>
      </c>
      <c r="G64" s="104"/>
      <c r="H64" s="107"/>
      <c r="I64" s="131"/>
      <c r="K64" s="127"/>
      <c r="L64" s="104" t="s">
        <v>545</v>
      </c>
      <c r="M64" s="106" t="s">
        <v>546</v>
      </c>
      <c r="N64" s="104"/>
      <c r="O64" s="107"/>
      <c r="P64" s="131"/>
      <c r="R64" s="168"/>
      <c r="S64" s="168"/>
    </row>
    <row r="65" spans="4:23">
      <c r="D65" s="127"/>
      <c r="E65" s="105" t="s">
        <v>174</v>
      </c>
      <c r="F65" s="101" t="s">
        <v>174</v>
      </c>
      <c r="G65" s="105" t="s">
        <v>184</v>
      </c>
      <c r="H65" s="102"/>
      <c r="I65" s="131"/>
      <c r="K65" s="127"/>
      <c r="L65" s="105" t="s">
        <v>142</v>
      </c>
      <c r="M65" s="101" t="s">
        <v>142</v>
      </c>
      <c r="N65" s="105" t="s">
        <v>142</v>
      </c>
      <c r="O65" s="102"/>
      <c r="P65" s="131"/>
      <c r="R65" s="168"/>
      <c r="S65" s="168"/>
    </row>
    <row r="66" spans="4:23">
      <c r="D66" s="129" t="s">
        <v>542</v>
      </c>
      <c r="E66" s="135">
        <f>$C$11</f>
        <v>8.9415267430537473E-2</v>
      </c>
      <c r="F66" s="135">
        <f>C26*Data_b!B45</f>
        <v>0.13412290114580622</v>
      </c>
      <c r="G66" s="273">
        <f>UCC!$B$21</f>
        <v>1.7297436021619313E-5</v>
      </c>
      <c r="H66" s="98"/>
      <c r="I66" s="131"/>
      <c r="K66" s="129" t="s">
        <v>542</v>
      </c>
      <c r="L66" s="159">
        <f>Inputs!B46*E66</f>
        <v>5807188.4005508376</v>
      </c>
      <c r="M66" s="159">
        <f>Inputs!C46*F66/2</f>
        <v>0</v>
      </c>
      <c r="N66" s="159">
        <f>Inputs!D46*G66</f>
        <v>239218.97013889928</v>
      </c>
      <c r="O66" s="98"/>
      <c r="P66" s="131"/>
      <c r="R66" s="169">
        <f>SUM(L66:P66)</f>
        <v>6046407.3706897367</v>
      </c>
      <c r="S66" s="169">
        <f>R66*$U$78</f>
        <v>11451316.541786708</v>
      </c>
    </row>
    <row r="67" spans="4:23">
      <c r="D67" s="154" t="s">
        <v>185</v>
      </c>
      <c r="E67" s="103"/>
      <c r="F67" s="99"/>
      <c r="G67" s="103" t="s">
        <v>185</v>
      </c>
      <c r="H67" s="100"/>
      <c r="I67" s="131"/>
      <c r="K67" s="154" t="s">
        <v>185</v>
      </c>
      <c r="L67" s="103"/>
      <c r="M67" s="99"/>
      <c r="N67" s="103" t="s">
        <v>185</v>
      </c>
      <c r="O67" s="100"/>
      <c r="P67" s="131"/>
      <c r="R67" s="168"/>
      <c r="S67" s="168"/>
    </row>
    <row r="68" spans="4:23">
      <c r="D68" s="127"/>
      <c r="E68" s="105"/>
      <c r="F68" s="101"/>
      <c r="G68" s="105" t="s">
        <v>184</v>
      </c>
      <c r="H68" s="102"/>
      <c r="I68" s="131"/>
      <c r="K68" s="127"/>
      <c r="L68" s="105"/>
      <c r="M68" s="101"/>
      <c r="N68" s="105" t="s">
        <v>142</v>
      </c>
      <c r="O68" s="102"/>
      <c r="P68" s="131"/>
      <c r="R68" s="168"/>
      <c r="S68" s="168"/>
    </row>
    <row r="69" spans="4:23" ht="15" thickBot="1">
      <c r="D69" s="132" t="s">
        <v>544</v>
      </c>
      <c r="E69" s="133"/>
      <c r="F69" s="133"/>
      <c r="G69" s="133"/>
      <c r="H69" s="133"/>
      <c r="I69" s="134"/>
      <c r="K69" s="132" t="s">
        <v>544</v>
      </c>
      <c r="L69" s="133"/>
      <c r="M69" s="133"/>
      <c r="N69" s="164">
        <f>Inputs!D49*G69</f>
        <v>0</v>
      </c>
      <c r="O69" s="133"/>
      <c r="P69" s="134"/>
      <c r="R69" s="166">
        <f>SUM(L69:P69)</f>
        <v>0</v>
      </c>
      <c r="S69" s="166">
        <f>R69*$U$78</f>
        <v>0</v>
      </c>
    </row>
    <row r="70" spans="4:23" ht="15" thickBot="1">
      <c r="R70" s="170">
        <f>SUM(R30:R69)</f>
        <v>32393553.89203497</v>
      </c>
      <c r="S70" s="170">
        <f>SUM(S30:S69)</f>
        <v>92840000</v>
      </c>
    </row>
    <row r="71" spans="4:23" ht="15" thickBot="1">
      <c r="T71" s="184" t="s">
        <v>195</v>
      </c>
      <c r="U71" s="185"/>
    </row>
    <row r="72" spans="4:23">
      <c r="T72" s="113" t="s">
        <v>196</v>
      </c>
      <c r="U72" s="186"/>
      <c r="V72" s="115"/>
    </row>
    <row r="73" spans="4:23" ht="15" thickBot="1">
      <c r="T73" s="187"/>
      <c r="U73" s="197" t="s">
        <v>202</v>
      </c>
      <c r="V73" s="198" t="s">
        <v>203</v>
      </c>
    </row>
    <row r="74" spans="4:23">
      <c r="T74" s="172" t="s">
        <v>2</v>
      </c>
      <c r="U74" s="189">
        <f>SUM(R32:R46)/R70</f>
        <v>9.2033616811878799E-2</v>
      </c>
      <c r="V74" s="192">
        <f>Data_a!C4</f>
        <v>0.4</v>
      </c>
    </row>
    <row r="75" spans="4:23" ht="15" thickBot="1">
      <c r="T75" s="132" t="s">
        <v>3</v>
      </c>
      <c r="U75" s="191">
        <f>SUM(R52:R69)/R70</f>
        <v>0.90796638318812128</v>
      </c>
      <c r="V75" s="193">
        <f>1-V74</f>
        <v>0.6</v>
      </c>
    </row>
    <row r="76" spans="4:23" ht="15" thickBot="1">
      <c r="T76" s="187" t="s">
        <v>197</v>
      </c>
      <c r="U76" s="190"/>
    </row>
    <row r="77" spans="4:23">
      <c r="T77" s="172" t="s">
        <v>2</v>
      </c>
      <c r="U77" s="174">
        <f>(V74*Inputs!C5)/(U74*R70)</f>
        <v>12.456328026750912</v>
      </c>
    </row>
    <row r="78" spans="4:23" ht="15" thickBot="1">
      <c r="T78" s="173" t="s">
        <v>3</v>
      </c>
      <c r="U78" s="179">
        <f>(V75*Inputs!C5)/(U75*R70)</f>
        <v>1.8939042376300246</v>
      </c>
    </row>
    <row r="79" spans="4:23">
      <c r="T79" s="113" t="s">
        <v>198</v>
      </c>
      <c r="U79" s="186"/>
      <c r="V79" s="114"/>
      <c r="W79" s="209" t="s">
        <v>174</v>
      </c>
    </row>
    <row r="80" spans="4:23" ht="15" thickBot="1">
      <c r="T80" s="187"/>
      <c r="U80" s="188"/>
      <c r="V80" s="195" t="s">
        <v>199</v>
      </c>
      <c r="W80" s="196" t="s">
        <v>200</v>
      </c>
    </row>
    <row r="81" spans="20:23">
      <c r="T81" s="211" t="s">
        <v>262</v>
      </c>
      <c r="U81" s="180" t="s">
        <v>107</v>
      </c>
      <c r="V81" s="180">
        <f>$U$77</f>
        <v>12.456328026750912</v>
      </c>
      <c r="W81" s="194">
        <f t="shared" ref="W81:W87" si="11">V81*C20</f>
        <v>0.23107172905115805</v>
      </c>
    </row>
    <row r="82" spans="20:23">
      <c r="T82" s="97"/>
      <c r="U82" s="176" t="s">
        <v>119</v>
      </c>
      <c r="V82" s="180">
        <f t="shared" ref="V82:V83" si="12">$U$77</f>
        <v>12.456328026750912</v>
      </c>
      <c r="W82" s="182">
        <f t="shared" si="11"/>
        <v>0.10409134093724992</v>
      </c>
    </row>
    <row r="83" spans="20:23" ht="15" thickBot="1">
      <c r="T83" s="97"/>
      <c r="U83" s="176" t="s">
        <v>256</v>
      </c>
      <c r="V83" s="181">
        <f t="shared" si="12"/>
        <v>12.456328026750912</v>
      </c>
      <c r="W83" s="175">
        <f t="shared" si="11"/>
        <v>3.2532594305460246E-4</v>
      </c>
    </row>
    <row r="84" spans="20:23">
      <c r="T84" s="97" t="s">
        <v>263</v>
      </c>
      <c r="U84" s="180" t="s">
        <v>107</v>
      </c>
      <c r="V84" s="177">
        <f>$U$78</f>
        <v>1.8939042376300246</v>
      </c>
      <c r="W84" s="357">
        <f t="shared" si="11"/>
        <v>0</v>
      </c>
    </row>
    <row r="85" spans="20:23">
      <c r="T85" s="97"/>
      <c r="U85" s="176" t="s">
        <v>119</v>
      </c>
      <c r="V85" s="176">
        <f t="shared" ref="V85:V87" si="13">$U$78</f>
        <v>1.8939042376300246</v>
      </c>
      <c r="W85" s="182">
        <f t="shared" si="11"/>
        <v>0</v>
      </c>
    </row>
    <row r="86" spans="20:23">
      <c r="T86" s="97"/>
      <c r="U86" s="176" t="s">
        <v>256</v>
      </c>
      <c r="V86" s="176">
        <f t="shared" si="13"/>
        <v>1.8939042376300246</v>
      </c>
      <c r="W86" s="182">
        <f t="shared" si="11"/>
        <v>0</v>
      </c>
    </row>
    <row r="87" spans="20:23" ht="15" thickBot="1">
      <c r="T87" s="97"/>
      <c r="U87" s="176" t="s">
        <v>264</v>
      </c>
      <c r="V87" s="178">
        <f t="shared" si="13"/>
        <v>1.8939042376300246</v>
      </c>
      <c r="W87" s="175">
        <f t="shared" si="11"/>
        <v>0.16934395389551685</v>
      </c>
    </row>
    <row r="89" spans="20:23">
      <c r="W89" s="19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13"/>
  <sheetViews>
    <sheetView showGridLines="0" workbookViewId="0">
      <selection activeCell="E18" sqref="E18"/>
    </sheetView>
  </sheetViews>
  <sheetFormatPr defaultRowHeight="14.4"/>
  <cols>
    <col min="1" max="1" width="17.44140625" bestFit="1" customWidth="1"/>
    <col min="2" max="2" width="12.21875" bestFit="1" customWidth="1"/>
    <col min="3" max="3" width="24.6640625" bestFit="1" customWidth="1"/>
    <col min="4" max="4" width="15.109375" bestFit="1" customWidth="1"/>
    <col min="5" max="5" width="17.88671875" bestFit="1" customWidth="1"/>
  </cols>
  <sheetData>
    <row r="1" spans="1:19" ht="15" thickBot="1"/>
    <row r="2" spans="1:19" ht="15" thickBot="1">
      <c r="A2" s="90" t="s">
        <v>251</v>
      </c>
      <c r="B2" s="144"/>
      <c r="C2" s="144"/>
      <c r="D2" s="144"/>
      <c r="E2" s="145"/>
    </row>
    <row r="3" spans="1:19" ht="15" thickBot="1">
      <c r="A3" s="213" t="s">
        <v>112</v>
      </c>
      <c r="B3" s="214"/>
      <c r="C3" s="215" t="s">
        <v>438</v>
      </c>
      <c r="D3" s="215" t="s">
        <v>252</v>
      </c>
      <c r="E3" s="216" t="s">
        <v>552</v>
      </c>
    </row>
    <row r="4" spans="1:19">
      <c r="A4" s="211" t="s">
        <v>162</v>
      </c>
      <c r="B4" s="180" t="s">
        <v>107</v>
      </c>
      <c r="C4" s="212">
        <f>Reconcile_RPM!W81</f>
        <v>0.18499776619667357</v>
      </c>
      <c r="D4" s="212">
        <f>Reconcile_CWD!W81</f>
        <v>0.2288976688050621</v>
      </c>
      <c r="E4" s="212">
        <f>Reconcile_MATRIX!W81</f>
        <v>0.23107172905115805</v>
      </c>
    </row>
    <row r="5" spans="1:19">
      <c r="A5" s="97"/>
      <c r="B5" s="176" t="s">
        <v>172</v>
      </c>
      <c r="C5" s="210">
        <f>Reconcile_RPM!W82</f>
        <v>0.17219025649065856</v>
      </c>
      <c r="D5" s="212">
        <f>Reconcile_CWD!W82</f>
        <v>0.21871040555528265</v>
      </c>
      <c r="E5" s="212">
        <f>Reconcile_MATRIX!W82</f>
        <v>0.10409134093724992</v>
      </c>
    </row>
    <row r="6" spans="1:19">
      <c r="A6" s="97"/>
      <c r="B6" s="176" t="s">
        <v>436</v>
      </c>
      <c r="C6" s="210">
        <f>Reconcile_RPM!W83</f>
        <v>4.5722179057658616E-3</v>
      </c>
      <c r="D6" s="212">
        <f>Reconcile_CWD!W83</f>
        <v>5.933944072189664E-3</v>
      </c>
      <c r="E6" s="212">
        <f>Reconcile_MATRIX!W83</f>
        <v>3.2532594305460246E-4</v>
      </c>
    </row>
    <row r="7" spans="1:19">
      <c r="A7" s="97" t="s">
        <v>163</v>
      </c>
      <c r="B7" s="180" t="s">
        <v>107</v>
      </c>
      <c r="C7" s="210">
        <f>Reconcile_RPM!W84</f>
        <v>0</v>
      </c>
      <c r="D7" s="212">
        <f>Reconcile_CWD!W84</f>
        <v>0.22122757202239504</v>
      </c>
      <c r="E7" s="212">
        <f>Reconcile_MATRIX!W84</f>
        <v>0</v>
      </c>
    </row>
    <row r="8" spans="1:19">
      <c r="A8" s="97"/>
      <c r="B8" s="176" t="s">
        <v>172</v>
      </c>
      <c r="C8" s="210">
        <f>Reconcile_RPM!W85</f>
        <v>0</v>
      </c>
      <c r="D8" s="212">
        <f>Reconcile_CWD!W85</f>
        <v>0</v>
      </c>
      <c r="E8" s="212">
        <f>Reconcile_MATRIX!W85</f>
        <v>0</v>
      </c>
    </row>
    <row r="9" spans="1:19">
      <c r="A9" s="97"/>
      <c r="B9" s="176" t="s">
        <v>436</v>
      </c>
      <c r="C9" s="210">
        <f>Reconcile_RPM!W86</f>
        <v>0</v>
      </c>
      <c r="D9" s="212">
        <f>Reconcile_CWD!W86</f>
        <v>6.2538905428542466E-3</v>
      </c>
      <c r="E9" s="212">
        <f>Reconcile_MATRIX!W86</f>
        <v>0</v>
      </c>
    </row>
    <row r="10" spans="1:19">
      <c r="A10" s="97"/>
      <c r="B10" s="176" t="s">
        <v>437</v>
      </c>
      <c r="C10" s="210">
        <f>Reconcile_RPM!W87</f>
        <v>0.17201404877749671</v>
      </c>
      <c r="D10" s="212">
        <f>Reconcile_CWD!W87</f>
        <v>0.14202543607090309</v>
      </c>
      <c r="E10" s="212">
        <f>Reconcile_MATRIX!W87</f>
        <v>0.16934395389551685</v>
      </c>
    </row>
    <row r="13" spans="1:19">
      <c r="S13" t="s">
        <v>260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6"/>
  <sheetViews>
    <sheetView showGridLines="0" workbookViewId="0">
      <selection activeCell="K27" sqref="K27"/>
    </sheetView>
  </sheetViews>
  <sheetFormatPr defaultRowHeight="14.4"/>
  <cols>
    <col min="2" max="2" width="41.109375" customWidth="1"/>
    <col min="3" max="3" width="18" bestFit="1" customWidth="1"/>
    <col min="4" max="5" width="16.77734375" customWidth="1"/>
    <col min="6" max="6" width="7.6640625" customWidth="1"/>
    <col min="8" max="8" width="19.6640625" bestFit="1" customWidth="1"/>
    <col min="9" max="9" width="18.5546875" bestFit="1" customWidth="1"/>
  </cols>
  <sheetData>
    <row r="2" spans="2:9" ht="15" thickBot="1">
      <c r="B2" s="2" t="s">
        <v>262</v>
      </c>
    </row>
    <row r="3" spans="2:9" ht="15" thickBot="1">
      <c r="C3" s="463" t="s">
        <v>273</v>
      </c>
      <c r="D3" s="464" t="s">
        <v>351</v>
      </c>
      <c r="E3" s="464" t="s">
        <v>350</v>
      </c>
      <c r="F3" s="465" t="s">
        <v>274</v>
      </c>
      <c r="H3" s="459" t="s">
        <v>354</v>
      </c>
    </row>
    <row r="4" spans="2:9" ht="4.05" customHeight="1" thickBot="1">
      <c r="F4" s="358"/>
    </row>
    <row r="5" spans="2:9">
      <c r="B5" s="361" t="s">
        <v>281</v>
      </c>
      <c r="C5" s="362"/>
      <c r="D5" s="362"/>
      <c r="E5" s="362"/>
      <c r="F5" s="363"/>
      <c r="H5" s="462" t="s">
        <v>107</v>
      </c>
    </row>
    <row r="6" spans="2:9">
      <c r="B6" s="359" t="s">
        <v>276</v>
      </c>
      <c r="C6" s="364" t="s">
        <v>352</v>
      </c>
      <c r="D6" s="467">
        <f>Data_d!D9</f>
        <v>3.3368999999999998E-4</v>
      </c>
      <c r="E6" s="468">
        <f>ROUND(H6*Reconcile_RPM!$U$77/365,8)</f>
        <v>5.0684000000000005E-4</v>
      </c>
      <c r="F6" s="478">
        <f>E6/D6-1</f>
        <v>0.51889478258263688</v>
      </c>
      <c r="H6" s="460">
        <f t="array" ref="H6:H10">TRANSPOSE(Reconcile_RPM!E32:I32)</f>
        <v>7.561106201876E-2</v>
      </c>
      <c r="I6" t="s">
        <v>174</v>
      </c>
    </row>
    <row r="7" spans="2:9">
      <c r="B7" s="359" t="s">
        <v>277</v>
      </c>
      <c r="C7" s="364" t="s">
        <v>352</v>
      </c>
      <c r="D7" s="467">
        <f>Data_d!D10</f>
        <v>4.3378999999999998E-4</v>
      </c>
      <c r="E7" s="468">
        <f>ROUND(H7*Reconcile_RPM!$U$77/365,8)</f>
        <v>6.5890000000000002E-4</v>
      </c>
      <c r="F7" s="478">
        <f t="shared" ref="F7:F21" si="0">E7/D7-1</f>
        <v>0.51893773484865968</v>
      </c>
      <c r="H7" s="460">
        <v>9.8294380624388E-2</v>
      </c>
      <c r="I7" t="s">
        <v>174</v>
      </c>
    </row>
    <row r="8" spans="2:9">
      <c r="B8" s="359" t="s">
        <v>278</v>
      </c>
      <c r="C8" s="364" t="s">
        <v>352</v>
      </c>
      <c r="D8" s="467">
        <f>Data_d!D11</f>
        <v>5.0053000000000001E-4</v>
      </c>
      <c r="E8" s="468">
        <f>ROUND(H8*Reconcile_RPM!$U$77/365,8)</f>
        <v>7.6026000000000002E-4</v>
      </c>
      <c r="F8" s="478">
        <f t="shared" si="0"/>
        <v>0.51890995544722585</v>
      </c>
      <c r="H8" s="460">
        <v>0.11341659302814</v>
      </c>
      <c r="I8" t="s">
        <v>174</v>
      </c>
    </row>
    <row r="9" spans="2:9">
      <c r="B9" s="359" t="s">
        <v>279</v>
      </c>
      <c r="C9" s="364" t="s">
        <v>352</v>
      </c>
      <c r="D9" s="467">
        <f>Data_d!D12</f>
        <v>6.6737999999999997E-4</v>
      </c>
      <c r="E9" s="468">
        <f>ROUND(H9*Reconcile_RPM!$U$77/365,8)</f>
        <v>1.01369E-3</v>
      </c>
      <c r="F9" s="478">
        <f t="shared" si="0"/>
        <v>0.51890976654979193</v>
      </c>
      <c r="H9" s="460">
        <v>0.15122212403752</v>
      </c>
      <c r="I9" t="s">
        <v>174</v>
      </c>
    </row>
    <row r="10" spans="2:9" ht="15" thickBot="1">
      <c r="B10" s="360" t="s">
        <v>280</v>
      </c>
      <c r="C10" s="365" t="s">
        <v>352</v>
      </c>
      <c r="D10" s="469">
        <f>Data_d!D13</f>
        <v>7.3410999999999995E-4</v>
      </c>
      <c r="E10" s="470">
        <f>ROUND(H10*Reconcile_RPM!$U$77/365,8)</f>
        <v>1.11506E-3</v>
      </c>
      <c r="F10" s="479">
        <f t="shared" si="0"/>
        <v>0.51892768113770416</v>
      </c>
      <c r="H10" s="461">
        <v>0.166344336441272</v>
      </c>
      <c r="I10" t="s">
        <v>174</v>
      </c>
    </row>
    <row r="11" spans="2:9" ht="4.05" customHeight="1" thickBot="1">
      <c r="C11" s="366"/>
      <c r="D11" s="471"/>
      <c r="E11" s="471"/>
      <c r="F11" s="367"/>
      <c r="H11" s="366"/>
    </row>
    <row r="12" spans="2:9">
      <c r="B12" s="361" t="s">
        <v>119</v>
      </c>
      <c r="C12" s="362"/>
      <c r="D12" s="472"/>
      <c r="E12" s="472"/>
      <c r="F12" s="363"/>
      <c r="H12" s="462" t="s">
        <v>119</v>
      </c>
    </row>
    <row r="13" spans="2:9">
      <c r="B13" s="359" t="s">
        <v>276</v>
      </c>
      <c r="C13" s="364" t="s">
        <v>352</v>
      </c>
      <c r="D13" s="467">
        <f>Data_d!D15</f>
        <v>3.3368999999999998E-4</v>
      </c>
      <c r="E13" s="468">
        <f>ROUND(H13*Reconcile_RPM!$U$77/365,8)</f>
        <v>4.7175E-4</v>
      </c>
      <c r="F13" s="478">
        <f t="shared" si="0"/>
        <v>0.41373730108783602</v>
      </c>
      <c r="H13" s="460">
        <f t="array" ref="H13:H17">TRANSPOSE(Reconcile_RPM!E33:I33)</f>
        <v>7.0376461457919356E-2</v>
      </c>
      <c r="I13" t="s">
        <v>174</v>
      </c>
    </row>
    <row r="14" spans="2:9">
      <c r="B14" s="359" t="s">
        <v>277</v>
      </c>
      <c r="C14" s="364" t="s">
        <v>352</v>
      </c>
      <c r="D14" s="467">
        <f>Data_d!D16</f>
        <v>4.3378999999999998E-4</v>
      </c>
      <c r="E14" s="468">
        <f>ROUND(H14*Reconcile_RPM!$U$77/365,8)</f>
        <v>6.1328000000000001E-4</v>
      </c>
      <c r="F14" s="478">
        <f t="shared" si="0"/>
        <v>0.41377164065561689</v>
      </c>
      <c r="H14" s="460">
        <v>9.148939989529517E-2</v>
      </c>
      <c r="I14" t="s">
        <v>174</v>
      </c>
    </row>
    <row r="15" spans="2:9">
      <c r="B15" s="359" t="s">
        <v>278</v>
      </c>
      <c r="C15" s="364" t="s">
        <v>352</v>
      </c>
      <c r="D15" s="467">
        <f>Data_d!D17</f>
        <v>5.0053000000000001E-4</v>
      </c>
      <c r="E15" s="468">
        <f>ROUND(H15*Reconcile_RPM!$U$77/365,8)</f>
        <v>7.0763E-4</v>
      </c>
      <c r="F15" s="478">
        <f t="shared" si="0"/>
        <v>0.41376141290232349</v>
      </c>
      <c r="H15" s="460">
        <v>0.10556469218687903</v>
      </c>
      <c r="I15" t="s">
        <v>174</v>
      </c>
    </row>
    <row r="16" spans="2:9">
      <c r="B16" s="359" t="s">
        <v>279</v>
      </c>
      <c r="C16" s="364" t="s">
        <v>352</v>
      </c>
      <c r="D16" s="467">
        <f>Data_d!D18</f>
        <v>6.6737999999999997E-4</v>
      </c>
      <c r="E16" s="468">
        <f>ROUND(H16*Reconcile_RPM!$U$77/365,8)</f>
        <v>9.4351000000000005E-4</v>
      </c>
      <c r="F16" s="478">
        <f t="shared" si="0"/>
        <v>0.41375228505499129</v>
      </c>
      <c r="H16" s="460">
        <v>0.14075292291583871</v>
      </c>
      <c r="I16" t="s">
        <v>174</v>
      </c>
    </row>
    <row r="17" spans="2:9" ht="15" thickBot="1">
      <c r="B17" s="360" t="s">
        <v>280</v>
      </c>
      <c r="C17" s="365" t="s">
        <v>352</v>
      </c>
      <c r="D17" s="469">
        <f>Data_d!D19</f>
        <v>7.3410999999999995E-4</v>
      </c>
      <c r="E17" s="470">
        <f>ROUND(H17*Reconcile_RPM!$U$77/365,8)</f>
        <v>1.03786E-3</v>
      </c>
      <c r="F17" s="479">
        <f t="shared" si="0"/>
        <v>0.41376632929669954</v>
      </c>
      <c r="H17" s="461">
        <v>0.1548282152074226</v>
      </c>
      <c r="I17" t="s">
        <v>174</v>
      </c>
    </row>
    <row r="18" spans="2:9" ht="4.05" customHeight="1" thickBot="1">
      <c r="C18" s="366"/>
      <c r="D18" s="471"/>
      <c r="E18" s="471"/>
      <c r="F18" s="367"/>
      <c r="H18" s="366"/>
    </row>
    <row r="19" spans="2:9">
      <c r="B19" s="361" t="s">
        <v>282</v>
      </c>
      <c r="C19" s="362"/>
      <c r="D19" s="472"/>
      <c r="E19" s="472"/>
      <c r="F19" s="363"/>
      <c r="H19" s="462" t="s">
        <v>108</v>
      </c>
    </row>
    <row r="20" spans="2:9">
      <c r="B20" s="359" t="s">
        <v>279</v>
      </c>
      <c r="C20" s="364" t="s">
        <v>352</v>
      </c>
      <c r="D20" s="467">
        <f>Data_d!D21</f>
        <v>9.3600000000000002E-6</v>
      </c>
      <c r="E20" s="468">
        <f>ROUND(H20*Reconcile_RPM!$U$77/365,8)</f>
        <v>1.253E-5</v>
      </c>
      <c r="F20" s="478">
        <f t="shared" si="0"/>
        <v>0.33867521367521358</v>
      </c>
      <c r="H20" s="460">
        <f t="array" ref="H20:H21">TRANSPOSE(Reconcile_RPM!H34:I34)</f>
        <v>1.8687266270481253E-3</v>
      </c>
      <c r="I20" t="s">
        <v>174</v>
      </c>
    </row>
    <row r="21" spans="2:9" ht="15" thickBot="1">
      <c r="B21" s="360" t="s">
        <v>280</v>
      </c>
      <c r="C21" s="365" t="s">
        <v>352</v>
      </c>
      <c r="D21" s="469">
        <f>Data_d!D22</f>
        <v>1.03E-5</v>
      </c>
      <c r="E21" s="470">
        <f>ROUND(H21*Reconcile_RPM!$U$77/365,8)</f>
        <v>1.378E-5</v>
      </c>
      <c r="F21" s="479">
        <f t="shared" si="0"/>
        <v>0.3378640776699029</v>
      </c>
      <c r="H21" s="461">
        <v>2.0555992897529378E-3</v>
      </c>
      <c r="I21" t="s">
        <v>174</v>
      </c>
    </row>
    <row r="22" spans="2:9">
      <c r="C22" s="366"/>
      <c r="D22" s="366"/>
      <c r="E22" s="366"/>
      <c r="F22" s="367"/>
    </row>
    <row r="23" spans="2:9">
      <c r="C23" s="366"/>
      <c r="D23" s="366"/>
      <c r="E23" s="366"/>
      <c r="F23" s="367"/>
    </row>
    <row r="24" spans="2:9" ht="15" thickBot="1">
      <c r="B24" s="2" t="s">
        <v>263</v>
      </c>
    </row>
    <row r="25" spans="2:9" ht="15" thickBot="1">
      <c r="C25" s="463" t="s">
        <v>273</v>
      </c>
      <c r="D25" s="464" t="s">
        <v>351</v>
      </c>
      <c r="E25" s="464" t="s">
        <v>350</v>
      </c>
      <c r="F25" s="465" t="s">
        <v>274</v>
      </c>
      <c r="H25" s="459" t="s">
        <v>354</v>
      </c>
    </row>
    <row r="26" spans="2:9" ht="4.05" customHeight="1" thickBot="1">
      <c r="C26" s="366"/>
      <c r="D26" s="471"/>
      <c r="E26" s="471"/>
      <c r="F26" s="367"/>
      <c r="H26" s="366"/>
    </row>
    <row r="27" spans="2:9">
      <c r="B27" s="361" t="s">
        <v>281</v>
      </c>
      <c r="C27" s="362"/>
      <c r="D27" s="362"/>
      <c r="E27" s="362"/>
      <c r="F27" s="363"/>
      <c r="H27" s="462" t="s">
        <v>107</v>
      </c>
    </row>
    <row r="28" spans="2:9">
      <c r="B28" s="359" t="s">
        <v>276</v>
      </c>
      <c r="C28" s="364" t="s">
        <v>352</v>
      </c>
      <c r="D28" s="467">
        <v>0</v>
      </c>
      <c r="E28" s="468">
        <f>ROUND(H28*Reconcile_RPM!$U$78/365,8)</f>
        <v>0</v>
      </c>
      <c r="F28" s="478" t="str">
        <f>IFERROR(E28/D28-1,"-")</f>
        <v>-</v>
      </c>
      <c r="H28" s="460">
        <f t="array" ref="H28:H32">TRANSPOSE(Reconcile_RPM!E39:I39)</f>
        <v>0</v>
      </c>
      <c r="I28" t="s">
        <v>174</v>
      </c>
    </row>
    <row r="29" spans="2:9">
      <c r="B29" s="359" t="s">
        <v>277</v>
      </c>
      <c r="C29" s="364" t="s">
        <v>352</v>
      </c>
      <c r="D29" s="467">
        <v>0</v>
      </c>
      <c r="E29" s="468">
        <f>ROUND(H29*Reconcile_RPM!$U$78/365,8)</f>
        <v>0</v>
      </c>
      <c r="F29" s="478" t="str">
        <f t="shared" ref="F29:F32" si="1">IFERROR(E29/D29-1,"-")</f>
        <v>-</v>
      </c>
      <c r="H29" s="460">
        <v>0</v>
      </c>
      <c r="I29" t="s">
        <v>174</v>
      </c>
    </row>
    <row r="30" spans="2:9">
      <c r="B30" s="359" t="s">
        <v>278</v>
      </c>
      <c r="C30" s="364" t="s">
        <v>352</v>
      </c>
      <c r="D30" s="467">
        <v>0</v>
      </c>
      <c r="E30" s="468">
        <f>ROUND(H30*Reconcile_RPM!$U$78/365,8)</f>
        <v>0</v>
      </c>
      <c r="F30" s="478" t="str">
        <f t="shared" si="1"/>
        <v>-</v>
      </c>
      <c r="H30" s="460">
        <v>0</v>
      </c>
      <c r="I30" t="s">
        <v>174</v>
      </c>
    </row>
    <row r="31" spans="2:9">
      <c r="B31" s="359" t="s">
        <v>279</v>
      </c>
      <c r="C31" s="364" t="s">
        <v>352</v>
      </c>
      <c r="D31" s="467">
        <v>0</v>
      </c>
      <c r="E31" s="468">
        <f>ROUND(H31*Reconcile_RPM!$U$78/365,8)</f>
        <v>0</v>
      </c>
      <c r="F31" s="478" t="str">
        <f t="shared" si="1"/>
        <v>-</v>
      </c>
      <c r="H31" s="460">
        <v>0</v>
      </c>
      <c r="I31" t="s">
        <v>174</v>
      </c>
    </row>
    <row r="32" spans="2:9" ht="15" thickBot="1">
      <c r="B32" s="360" t="s">
        <v>280</v>
      </c>
      <c r="C32" s="365" t="s">
        <v>352</v>
      </c>
      <c r="D32" s="469">
        <v>0</v>
      </c>
      <c r="E32" s="470">
        <f>ROUND(H32*Reconcile_RPM!$U$78/365,8)</f>
        <v>0</v>
      </c>
      <c r="F32" s="479" t="str">
        <f t="shared" si="1"/>
        <v>-</v>
      </c>
      <c r="H32" s="461">
        <v>0</v>
      </c>
      <c r="I32" t="s">
        <v>174</v>
      </c>
    </row>
    <row r="33" spans="2:9" ht="4.05" customHeight="1" thickBot="1">
      <c r="C33" s="366"/>
      <c r="D33" s="471"/>
      <c r="E33" s="471"/>
      <c r="F33" s="367"/>
      <c r="H33" s="366"/>
    </row>
    <row r="34" spans="2:9">
      <c r="B34" s="361" t="s">
        <v>119</v>
      </c>
      <c r="C34" s="362"/>
      <c r="D34" s="472"/>
      <c r="E34" s="472"/>
      <c r="F34" s="363"/>
      <c r="H34" s="462" t="s">
        <v>119</v>
      </c>
    </row>
    <row r="35" spans="2:9">
      <c r="B35" s="359" t="s">
        <v>276</v>
      </c>
      <c r="C35" s="364" t="s">
        <v>352</v>
      </c>
      <c r="D35" s="467">
        <v>0</v>
      </c>
      <c r="E35" s="468">
        <f>ROUND(H35*Reconcile_RPM!$U$78/365,8)</f>
        <v>0</v>
      </c>
      <c r="F35" s="478" t="str">
        <f t="shared" ref="F35:F39" si="2">IFERROR(E35/D35-1,"-")</f>
        <v>-</v>
      </c>
      <c r="H35" s="460">
        <f t="array" ref="H35:H39">TRANSPOSE(Reconcile_RPM!E40:I40)</f>
        <v>0</v>
      </c>
      <c r="I35" t="s">
        <v>174</v>
      </c>
    </row>
    <row r="36" spans="2:9">
      <c r="B36" s="359" t="s">
        <v>277</v>
      </c>
      <c r="C36" s="364" t="s">
        <v>352</v>
      </c>
      <c r="D36" s="467">
        <v>0</v>
      </c>
      <c r="E36" s="468">
        <f>ROUND(H36*Reconcile_RPM!$U$78/365,8)</f>
        <v>0</v>
      </c>
      <c r="F36" s="478" t="str">
        <f t="shared" si="2"/>
        <v>-</v>
      </c>
      <c r="H36" s="460">
        <v>0</v>
      </c>
      <c r="I36" t="s">
        <v>174</v>
      </c>
    </row>
    <row r="37" spans="2:9">
      <c r="B37" s="359" t="s">
        <v>278</v>
      </c>
      <c r="C37" s="364" t="s">
        <v>352</v>
      </c>
      <c r="D37" s="467">
        <v>0</v>
      </c>
      <c r="E37" s="468">
        <f>ROUND(H37*Reconcile_RPM!$U$78/365,8)</f>
        <v>0</v>
      </c>
      <c r="F37" s="478" t="str">
        <f t="shared" si="2"/>
        <v>-</v>
      </c>
      <c r="H37" s="460">
        <v>0</v>
      </c>
      <c r="I37" t="s">
        <v>174</v>
      </c>
    </row>
    <row r="38" spans="2:9">
      <c r="B38" s="359" t="s">
        <v>279</v>
      </c>
      <c r="C38" s="364" t="s">
        <v>352</v>
      </c>
      <c r="D38" s="467">
        <v>0</v>
      </c>
      <c r="E38" s="468">
        <f>ROUND(H38*Reconcile_RPM!$U$78/365,8)</f>
        <v>0</v>
      </c>
      <c r="F38" s="478" t="str">
        <f t="shared" si="2"/>
        <v>-</v>
      </c>
      <c r="H38" s="460">
        <v>0</v>
      </c>
      <c r="I38" t="s">
        <v>174</v>
      </c>
    </row>
    <row r="39" spans="2:9" ht="15" thickBot="1">
      <c r="B39" s="360" t="s">
        <v>280</v>
      </c>
      <c r="C39" s="365" t="s">
        <v>352</v>
      </c>
      <c r="D39" s="469">
        <v>0</v>
      </c>
      <c r="E39" s="470">
        <f>ROUND(H39*Reconcile_RPM!$U$78/365,8)</f>
        <v>0</v>
      </c>
      <c r="F39" s="479" t="str">
        <f t="shared" si="2"/>
        <v>-</v>
      </c>
      <c r="H39" s="461">
        <v>0</v>
      </c>
      <c r="I39" t="s">
        <v>174</v>
      </c>
    </row>
    <row r="40" spans="2:9" ht="4.05" customHeight="1" thickBot="1">
      <c r="C40" s="366"/>
      <c r="D40" s="471"/>
      <c r="E40" s="471"/>
      <c r="F40" s="367"/>
      <c r="H40" s="366"/>
    </row>
    <row r="41" spans="2:9">
      <c r="B41" s="361" t="s">
        <v>282</v>
      </c>
      <c r="C41" s="362"/>
      <c r="D41" s="472"/>
      <c r="E41" s="472"/>
      <c r="F41" s="363"/>
      <c r="H41" s="462" t="s">
        <v>108</v>
      </c>
    </row>
    <row r="42" spans="2:9">
      <c r="B42" s="359" t="s">
        <v>279</v>
      </c>
      <c r="C42" s="364" t="s">
        <v>352</v>
      </c>
      <c r="D42" s="467">
        <v>0</v>
      </c>
      <c r="E42" s="468">
        <f>ROUND(H42*Reconcile_RPM!$U$78/365,8)</f>
        <v>0</v>
      </c>
      <c r="F42" s="478" t="str">
        <f t="shared" ref="F42:F43" si="3">IFERROR(E42/D42-1,"-")</f>
        <v>-</v>
      </c>
      <c r="H42" s="460">
        <f t="array" ref="H42:H43">TRANSPOSE(Reconcile_RPM!H41:I41)</f>
        <v>0</v>
      </c>
      <c r="I42" t="s">
        <v>174</v>
      </c>
    </row>
    <row r="43" spans="2:9" ht="15" thickBot="1">
      <c r="B43" s="360" t="s">
        <v>280</v>
      </c>
      <c r="C43" s="365" t="s">
        <v>352</v>
      </c>
      <c r="D43" s="469">
        <v>0</v>
      </c>
      <c r="E43" s="470">
        <f>ROUND(H43*Reconcile_RPM!$U$78/365,8)</f>
        <v>0</v>
      </c>
      <c r="F43" s="479" t="str">
        <f t="shared" si="3"/>
        <v>-</v>
      </c>
      <c r="H43" s="461">
        <v>0</v>
      </c>
      <c r="I43" t="s">
        <v>174</v>
      </c>
    </row>
    <row r="44" spans="2:9" ht="15" thickBot="1">
      <c r="C44" s="366"/>
      <c r="D44" s="366"/>
      <c r="E44" s="366"/>
      <c r="F44" s="367"/>
    </row>
    <row r="45" spans="2:9">
      <c r="B45" s="361" t="s">
        <v>376</v>
      </c>
      <c r="C45" s="362"/>
      <c r="D45" s="472"/>
      <c r="E45" s="472"/>
      <c r="F45" s="363"/>
      <c r="H45" s="462" t="s">
        <v>375</v>
      </c>
    </row>
    <row r="46" spans="2:9" ht="15" thickBot="1">
      <c r="B46" s="360" t="s">
        <v>168</v>
      </c>
      <c r="C46" s="365" t="s">
        <v>184</v>
      </c>
      <c r="D46" s="469">
        <v>0</v>
      </c>
      <c r="E46" s="470">
        <f>ROUND(H46*Reconcile_RPM!$U$78,8)</f>
        <v>1.9640000000000002E-5</v>
      </c>
      <c r="F46" s="479" t="str">
        <f>IFERROR(E46/D46-1,"-")</f>
        <v>-</v>
      </c>
      <c r="H46" s="484">
        <f>Reconcile_RPM!E44</f>
        <v>1.7297436021619313E-5</v>
      </c>
      <c r="I46" t="s">
        <v>184</v>
      </c>
    </row>
    <row r="48" spans="2:9" ht="15" thickBot="1">
      <c r="B48" s="2" t="s">
        <v>263</v>
      </c>
    </row>
    <row r="49" spans="2:9" ht="15" thickBot="1">
      <c r="C49" s="463" t="s">
        <v>273</v>
      </c>
      <c r="D49" s="464" t="s">
        <v>351</v>
      </c>
      <c r="E49" s="464" t="s">
        <v>350</v>
      </c>
      <c r="F49" s="465" t="s">
        <v>274</v>
      </c>
      <c r="H49" s="459" t="s">
        <v>354</v>
      </c>
    </row>
    <row r="50" spans="2:9" ht="4.05" customHeight="1" thickBot="1">
      <c r="F50" s="358"/>
    </row>
    <row r="51" spans="2:9">
      <c r="B51" s="361" t="s">
        <v>357</v>
      </c>
      <c r="C51" s="362"/>
      <c r="D51" s="362"/>
      <c r="E51" s="362"/>
      <c r="F51" s="363"/>
      <c r="H51" s="462" t="s">
        <v>368</v>
      </c>
    </row>
    <row r="52" spans="2:9">
      <c r="B52" s="359" t="s">
        <v>377</v>
      </c>
      <c r="C52" s="364" t="s">
        <v>353</v>
      </c>
      <c r="D52" s="467">
        <f>Data_d!K26</f>
        <v>1.7580999999999999E-2</v>
      </c>
      <c r="E52" s="468">
        <f>ROUND(H52*Reconcile_RPM!$U$78/12,8)</f>
        <v>1.43345E-2</v>
      </c>
      <c r="F52" s="480">
        <f t="shared" ref="F52:F55" si="4">E52/D52-1</f>
        <v>-0.18465957567828906</v>
      </c>
      <c r="H52" s="475">
        <f t="array" ref="H52:H55">TRANSPOSE(Reconcile_RPM!E52:H52)</f>
        <v>0.15152729119099162</v>
      </c>
      <c r="I52" t="str">
        <f t="array" ref="I52:I55">TRANSPOSE(Reconcile_RPM!E51:H51)</f>
        <v>€/(kWh/day) per year</v>
      </c>
    </row>
    <row r="53" spans="2:9">
      <c r="B53" s="359" t="s">
        <v>378</v>
      </c>
      <c r="C53" s="364" t="s">
        <v>353</v>
      </c>
      <c r="D53" s="467">
        <f>Data_d!K27</f>
        <v>1.7580999999999999E-2</v>
      </c>
      <c r="E53" s="468">
        <f>ROUND(H53*Reconcile_RPM!$U$78/12,8)</f>
        <v>1.43345E-2</v>
      </c>
      <c r="F53" s="480">
        <f t="shared" si="4"/>
        <v>-0.18465957567828906</v>
      </c>
      <c r="H53" s="475">
        <v>0.15152729119099162</v>
      </c>
      <c r="I53" t="str">
        <v>€/(kWh/day) per year</v>
      </c>
    </row>
    <row r="54" spans="2:9" ht="16.2">
      <c r="B54" s="359" t="s">
        <v>355</v>
      </c>
      <c r="C54" s="466" t="s">
        <v>184</v>
      </c>
      <c r="D54" s="473">
        <f>Data_d!K28</f>
        <v>3.5756999999999998E-4</v>
      </c>
      <c r="E54" s="474">
        <f>ROUND(H54*Reconcile_RPM!$U$78,8)</f>
        <v>4.9100000000000001E-4</v>
      </c>
      <c r="F54" s="480">
        <f t="shared" si="4"/>
        <v>0.37315770338674947</v>
      </c>
      <c r="H54" s="476">
        <v>4.3252057330422499E-4</v>
      </c>
      <c r="I54" t="str">
        <v>€/kWh</v>
      </c>
    </row>
    <row r="55" spans="2:9" ht="16.8" thickBot="1">
      <c r="B55" s="360" t="s">
        <v>356</v>
      </c>
      <c r="C55" s="365" t="s">
        <v>184</v>
      </c>
      <c r="D55" s="469">
        <f>Data_d!K29</f>
        <v>1.43E-5</v>
      </c>
      <c r="E55" s="470">
        <f>ROUND(H55*Reconcile_RPM!$U$78,8)</f>
        <v>1.9640000000000002E-5</v>
      </c>
      <c r="F55" s="481">
        <f t="shared" si="4"/>
        <v>0.37342657342657359</v>
      </c>
      <c r="H55" s="485">
        <v>1.7297436021619313E-5</v>
      </c>
      <c r="I55" t="str">
        <v>€/kWh</v>
      </c>
    </row>
    <row r="56" spans="2:9" ht="4.05" customHeight="1" thickBot="1">
      <c r="D56" s="471"/>
      <c r="E56" s="471"/>
      <c r="F56" s="358"/>
      <c r="H56" s="471"/>
    </row>
    <row r="57" spans="2:9">
      <c r="B57" s="361" t="s">
        <v>358</v>
      </c>
      <c r="C57" s="362"/>
      <c r="D57" s="472"/>
      <c r="E57" s="472"/>
      <c r="F57" s="363"/>
      <c r="H57" s="462" t="s">
        <v>369</v>
      </c>
    </row>
    <row r="58" spans="2:9">
      <c r="B58" s="359" t="s">
        <v>377</v>
      </c>
      <c r="C58" s="364" t="s">
        <v>353</v>
      </c>
      <c r="D58" s="467">
        <f>Data_d!K36</f>
        <v>5.45E-3</v>
      </c>
      <c r="E58" s="468">
        <f>ROUND(H58*Reconcile_RPM!$U$78/12,8)</f>
        <v>4.77817E-3</v>
      </c>
      <c r="F58" s="480">
        <f t="shared" ref="F58:F61" si="5">E58/D58-1</f>
        <v>-0.12327155963302749</v>
      </c>
      <c r="H58" s="475">
        <f t="array" ref="H58:H61">TRANSPOSE(Reconcile_RPM!E54:H54)</f>
        <v>5.0509097063663869E-2</v>
      </c>
      <c r="I58" t="str">
        <f t="array" ref="I58:I61">TRANSPOSE(Reconcile_RPM!E51:H51)</f>
        <v>€/(kWh/day) per year</v>
      </c>
    </row>
    <row r="59" spans="2:9">
      <c r="B59" s="359" t="s">
        <v>378</v>
      </c>
      <c r="C59" s="364" t="s">
        <v>353</v>
      </c>
      <c r="D59" s="467">
        <f>Data_d!K37</f>
        <v>5.45E-3</v>
      </c>
      <c r="E59" s="468">
        <f>ROUND(H59*Reconcile_RPM!$U$78/12,8)</f>
        <v>4.77817E-3</v>
      </c>
      <c r="F59" s="480">
        <f t="shared" si="5"/>
        <v>-0.12327155963302749</v>
      </c>
      <c r="H59" s="475">
        <v>5.0509097063663869E-2</v>
      </c>
      <c r="I59" t="str">
        <v>€/(kWh/day) per year</v>
      </c>
    </row>
    <row r="60" spans="2:9" ht="16.2" customHeight="1">
      <c r="B60" s="359" t="s">
        <v>355</v>
      </c>
      <c r="C60" s="466" t="s">
        <v>184</v>
      </c>
      <c r="D60" s="467">
        <f>Data_d!K38</f>
        <v>1.9907800000000002E-3</v>
      </c>
      <c r="E60" s="474">
        <f>ROUND(H60*Reconcile_RPM!$U$78,8)</f>
        <v>1.7651800000000001E-3</v>
      </c>
      <c r="F60" s="480">
        <f t="shared" si="5"/>
        <v>-0.11332241633932427</v>
      </c>
      <c r="H60" s="475">
        <v>1.5549449524967555E-3</v>
      </c>
      <c r="I60" t="str">
        <v>€/kWh</v>
      </c>
    </row>
    <row r="61" spans="2:9" ht="16.8" thickBot="1">
      <c r="B61" s="360" t="s">
        <v>356</v>
      </c>
      <c r="C61" s="365" t="s">
        <v>184</v>
      </c>
      <c r="D61" s="469">
        <f>Data_d!K39</f>
        <v>1.63178E-3</v>
      </c>
      <c r="E61" s="470">
        <f>ROUND(H61*Reconcile_RPM!$U$78,8)</f>
        <v>1.2938100000000001E-3</v>
      </c>
      <c r="F61" s="481">
        <f t="shared" si="5"/>
        <v>-0.20711738101950017</v>
      </c>
      <c r="H61" s="477">
        <v>1.1397218152141499E-3</v>
      </c>
      <c r="I61" t="str">
        <v>€/kWh</v>
      </c>
    </row>
    <row r="62" spans="2:9" ht="4.05" customHeight="1" thickBot="1">
      <c r="D62" s="471"/>
      <c r="E62" s="471"/>
      <c r="F62" s="358"/>
      <c r="H62" s="471"/>
    </row>
    <row r="63" spans="2:9">
      <c r="B63" s="361" t="s">
        <v>359</v>
      </c>
      <c r="C63" s="362"/>
      <c r="D63" s="472"/>
      <c r="E63" s="472"/>
      <c r="F63" s="363"/>
      <c r="H63" s="462" t="s">
        <v>370</v>
      </c>
    </row>
    <row r="64" spans="2:9">
      <c r="B64" s="359" t="s">
        <v>362</v>
      </c>
      <c r="C64" s="364" t="s">
        <v>353</v>
      </c>
      <c r="D64" s="467">
        <f>Data_d!J56</f>
        <v>1.7580999999999999E-2</v>
      </c>
      <c r="E64" s="468">
        <f>ROUND(H64*Reconcile_RPM!$U$78/12,8)</f>
        <v>1.43345E-2</v>
      </c>
      <c r="F64" s="480">
        <f t="shared" ref="F64:F66" si="6">E64/D64-1</f>
        <v>-0.18465957567828906</v>
      </c>
      <c r="H64" s="475">
        <f t="array" ref="H64:H66">TRANSPOSE(Reconcile_RPM!E66:G66)</f>
        <v>0.15152729119099162</v>
      </c>
      <c r="I64" t="str">
        <f t="array" ref="I64:I66">TRANSPOSE(Reconcile_RPM!E65:G65)</f>
        <v>€/(kWh/day) per year</v>
      </c>
    </row>
    <row r="65" spans="2:12">
      <c r="B65" s="359" t="s">
        <v>363</v>
      </c>
      <c r="C65" s="364" t="s">
        <v>353</v>
      </c>
      <c r="D65" s="467">
        <f>Data_d!J57</f>
        <v>2.6370999999999999E-2</v>
      </c>
      <c r="E65" s="468">
        <f>ROUND(H65*Reconcile_RPM!$U$78/12,8)</f>
        <v>2.1501760000000002E-2</v>
      </c>
      <c r="F65" s="480">
        <f t="shared" si="6"/>
        <v>-0.18464373743885321</v>
      </c>
      <c r="H65" s="475">
        <v>0.22729093678648743</v>
      </c>
      <c r="I65" t="str">
        <v>€/(kWh/day) per year</v>
      </c>
      <c r="L65" t="s">
        <v>260</v>
      </c>
    </row>
    <row r="66" spans="2:12" ht="15" thickBot="1">
      <c r="B66" s="360" t="s">
        <v>168</v>
      </c>
      <c r="C66" s="365" t="s">
        <v>184</v>
      </c>
      <c r="D66" s="469">
        <f>Data_d!J58</f>
        <v>1.43E-5</v>
      </c>
      <c r="E66" s="470">
        <f>ROUND(H66*Reconcile_RPM!$U$78,8)</f>
        <v>1.9640000000000002E-5</v>
      </c>
      <c r="F66" s="481">
        <f t="shared" si="6"/>
        <v>0.37342657342657359</v>
      </c>
      <c r="H66" s="485">
        <v>1.7297436021619313E-5</v>
      </c>
      <c r="I66" t="str">
        <v>€/kWh</v>
      </c>
    </row>
    <row r="67" spans="2:12" ht="4.05" customHeight="1" thickBot="1">
      <c r="D67" s="471"/>
      <c r="E67" s="471"/>
      <c r="F67" s="358"/>
      <c r="H67" s="471"/>
    </row>
    <row r="68" spans="2:12">
      <c r="B68" s="361" t="s">
        <v>361</v>
      </c>
      <c r="C68" s="362"/>
      <c r="D68" s="472"/>
      <c r="E68" s="472"/>
      <c r="F68" s="363"/>
      <c r="H68" s="462" t="s">
        <v>371</v>
      </c>
    </row>
    <row r="69" spans="2:12">
      <c r="B69" s="359" t="s">
        <v>364</v>
      </c>
      <c r="C69" s="364" t="s">
        <v>353</v>
      </c>
      <c r="D69" s="467">
        <f>Data_d!J50</f>
        <v>2.6370999999999999E-2</v>
      </c>
      <c r="E69" s="468">
        <f>ROUND(H69*Reconcile_RPM!$U$78/12,8)</f>
        <v>2.1501760000000002E-2</v>
      </c>
      <c r="F69" s="480">
        <f t="shared" ref="F69:F71" si="7">E69/D69-1</f>
        <v>-0.18464373743885321</v>
      </c>
      <c r="H69" s="475">
        <f t="array" ref="H69:H71">TRANSPOSE(Reconcile_RPM!E62:G62)</f>
        <v>0.22729093678648743</v>
      </c>
      <c r="I69" t="str">
        <f t="array" ref="I69:I71">TRANSPOSE(Reconcile_RPM!E61:G61)</f>
        <v>€/(kWh/day) per year</v>
      </c>
    </row>
    <row r="70" spans="2:12">
      <c r="B70" s="359" t="s">
        <v>365</v>
      </c>
      <c r="C70" s="364" t="s">
        <v>353</v>
      </c>
      <c r="D70" s="467">
        <f>Data_d!J51</f>
        <v>5.2741999999999997E-2</v>
      </c>
      <c r="E70" s="468">
        <f>ROUND(H70*Reconcile_RPM!$U$78/12,8)</f>
        <v>4.3003510000000002E-2</v>
      </c>
      <c r="F70" s="480">
        <f t="shared" si="7"/>
        <v>-0.1846439270410678</v>
      </c>
      <c r="H70" s="475">
        <v>0.45458187357297486</v>
      </c>
      <c r="I70" t="str">
        <v>€/(kWh/day) per year</v>
      </c>
    </row>
    <row r="71" spans="2:12" ht="15" thickBot="1">
      <c r="B71" s="360" t="s">
        <v>168</v>
      </c>
      <c r="C71" s="365" t="s">
        <v>184</v>
      </c>
      <c r="D71" s="469">
        <f>Data_d!J52</f>
        <v>1.43E-5</v>
      </c>
      <c r="E71" s="470">
        <f>ROUND(H71*Reconcile_RPM!$U$78,8)</f>
        <v>1.9640000000000002E-5</v>
      </c>
      <c r="F71" s="481">
        <f t="shared" si="7"/>
        <v>0.37342657342657359</v>
      </c>
      <c r="H71" s="485">
        <v>1.7297436021619313E-5</v>
      </c>
      <c r="I71" t="str">
        <v>€/kWh</v>
      </c>
    </row>
    <row r="72" spans="2:12" ht="4.05" customHeight="1" thickBot="1">
      <c r="D72" s="471"/>
      <c r="E72" s="471"/>
      <c r="F72" s="358"/>
      <c r="H72" s="471"/>
    </row>
    <row r="73" spans="2:12">
      <c r="B73" s="361" t="s">
        <v>360</v>
      </c>
      <c r="C73" s="362"/>
      <c r="D73" s="472"/>
      <c r="E73" s="472"/>
      <c r="F73" s="363"/>
      <c r="H73" s="462" t="s">
        <v>372</v>
      </c>
    </row>
    <row r="74" spans="2:12">
      <c r="B74" s="359" t="s">
        <v>366</v>
      </c>
      <c r="C74" s="364" t="s">
        <v>352</v>
      </c>
      <c r="D74" s="467">
        <f>Data_d!J44</f>
        <v>3.4680000000000002E-3</v>
      </c>
      <c r="E74" s="468">
        <f>ROUND(H74*Reconcile_RPM!$U$78/365,8)</f>
        <v>2.8276299999999998E-3</v>
      </c>
      <c r="F74" s="480">
        <f t="shared" ref="F74:F76" si="8">E74/D74-1</f>
        <v>-0.18465109573241067</v>
      </c>
      <c r="H74" s="475">
        <f t="array" ref="H74:H76">TRANSPOSE(Reconcile_RPM!E58:G58)</f>
        <v>0.90916374714594972</v>
      </c>
      <c r="I74" t="str">
        <f t="array" ref="I74:I76">TRANSPOSE(Reconcile_RPM!E57:G57)</f>
        <v>€/(kWh/day) per year</v>
      </c>
    </row>
    <row r="75" spans="2:12">
      <c r="B75" s="359" t="s">
        <v>367</v>
      </c>
      <c r="C75" s="364" t="s">
        <v>352</v>
      </c>
      <c r="D75" s="467">
        <f>Data_d!J45</f>
        <v>5.7800000000000004E-3</v>
      </c>
      <c r="E75" s="468">
        <f>ROUND(H75*Reconcile_RPM!$U$78/365,8)</f>
        <v>4.7127100000000002E-3</v>
      </c>
      <c r="F75" s="480">
        <f t="shared" si="8"/>
        <v>-0.18465224913494815</v>
      </c>
      <c r="H75" s="475">
        <v>1.5152729119099162</v>
      </c>
      <c r="I75" t="str">
        <v>€/(kWh/day) per year</v>
      </c>
    </row>
    <row r="76" spans="2:12" ht="15" thickBot="1">
      <c r="B76" s="360" t="s">
        <v>168</v>
      </c>
      <c r="C76" s="365" t="s">
        <v>184</v>
      </c>
      <c r="D76" s="469">
        <f>Data_d!J46</f>
        <v>1.43E-5</v>
      </c>
      <c r="E76" s="470">
        <f>ROUND(H76*Reconcile_RPM!$U$78,8)</f>
        <v>1.9640000000000002E-5</v>
      </c>
      <c r="F76" s="481">
        <f t="shared" si="8"/>
        <v>0.37342657342657359</v>
      </c>
      <c r="H76" s="485">
        <v>1.7297436021619313E-5</v>
      </c>
      <c r="I76" t="str">
        <v>€/kWh</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2" workbookViewId="0">
      <selection activeCell="A16" sqref="A16:XFD1048576"/>
    </sheetView>
  </sheetViews>
  <sheetFormatPr defaultColWidth="0" defaultRowHeight="14.4" zeroHeight="1"/>
  <cols>
    <col min="1" max="1" width="42.5546875" bestFit="1" customWidth="1"/>
    <col min="2" max="2" width="6.21875" bestFit="1" customWidth="1"/>
    <col min="3" max="3" width="14.5546875" bestFit="1" customWidth="1"/>
    <col min="4" max="5" width="5.88671875" customWidth="1"/>
    <col min="6" max="7" width="12.21875" customWidth="1"/>
    <col min="8" max="16384" width="8.88671875" hidden="1"/>
  </cols>
  <sheetData>
    <row r="1" spans="1:7">
      <c r="A1" s="1" t="s">
        <v>13</v>
      </c>
    </row>
    <row r="2" spans="1:7">
      <c r="A2" s="37"/>
      <c r="B2" s="38"/>
      <c r="C2" s="38"/>
      <c r="D2" s="38"/>
      <c r="E2" s="38"/>
      <c r="F2" s="39" t="s">
        <v>555</v>
      </c>
      <c r="G2" s="40" t="s">
        <v>555</v>
      </c>
    </row>
    <row r="3" spans="1:7">
      <c r="A3" s="41" t="s">
        <v>7</v>
      </c>
      <c r="B3" s="42" t="s">
        <v>0</v>
      </c>
      <c r="C3" s="42" t="s">
        <v>1</v>
      </c>
      <c r="D3" s="42" t="s">
        <v>2</v>
      </c>
      <c r="E3" s="42" t="s">
        <v>3</v>
      </c>
      <c r="F3" s="43" t="s">
        <v>20</v>
      </c>
      <c r="G3" s="44" t="s">
        <v>19</v>
      </c>
    </row>
    <row r="4" spans="1:7">
      <c r="A4" s="27" t="s">
        <v>8</v>
      </c>
      <c r="B4" s="45" t="s">
        <v>4</v>
      </c>
      <c r="C4" s="29" t="s">
        <v>554</v>
      </c>
      <c r="D4" s="29" t="s">
        <v>5</v>
      </c>
      <c r="E4" s="29" t="s">
        <v>5</v>
      </c>
      <c r="F4" s="46">
        <f>Data_b!B10/1000</f>
        <v>142061.92800000001</v>
      </c>
      <c r="G4" s="47">
        <f>Data_b!B16/1000</f>
        <v>0</v>
      </c>
    </row>
    <row r="5" spans="1:7">
      <c r="A5" s="27" t="s">
        <v>9</v>
      </c>
      <c r="B5" s="45" t="s">
        <v>6</v>
      </c>
      <c r="C5" s="29" t="s">
        <v>554</v>
      </c>
      <c r="D5" s="29" t="s">
        <v>5</v>
      </c>
      <c r="E5" s="29" t="s">
        <v>5</v>
      </c>
      <c r="F5" s="46">
        <f>Data_b!B11/1000</f>
        <v>19167.987000000001</v>
      </c>
      <c r="G5" s="47">
        <f>Data_b!B17/1000</f>
        <v>16184.186116098101</v>
      </c>
    </row>
    <row r="6" spans="1:7">
      <c r="A6" s="27" t="s">
        <v>23</v>
      </c>
      <c r="B6" s="45" t="s">
        <v>11</v>
      </c>
      <c r="C6" s="29" t="s">
        <v>172</v>
      </c>
      <c r="D6" s="29" t="s">
        <v>5</v>
      </c>
      <c r="E6" s="29" t="s">
        <v>5</v>
      </c>
      <c r="F6" s="46">
        <f>Data_b!B12/1000</f>
        <v>199063.25599999999</v>
      </c>
      <c r="G6" s="47">
        <f>Data_b!B18/1000</f>
        <v>0</v>
      </c>
    </row>
    <row r="7" spans="1:7">
      <c r="A7" s="27" t="s">
        <v>10</v>
      </c>
      <c r="B7" s="45" t="s">
        <v>12</v>
      </c>
      <c r="C7" s="29" t="s">
        <v>436</v>
      </c>
      <c r="D7" s="29" t="s">
        <v>5</v>
      </c>
      <c r="E7" s="29" t="s">
        <v>5</v>
      </c>
      <c r="F7" s="46">
        <f>Data_b!B13/1000</f>
        <v>72755.519</v>
      </c>
      <c r="G7" s="47">
        <f>Data_b!B19/1000</f>
        <v>28083</v>
      </c>
    </row>
    <row r="8" spans="1:7">
      <c r="A8" s="27" t="s">
        <v>24</v>
      </c>
      <c r="B8" s="45" t="s">
        <v>14</v>
      </c>
      <c r="C8" s="29" t="s">
        <v>553</v>
      </c>
      <c r="D8" s="29" t="s">
        <v>16</v>
      </c>
      <c r="E8" s="29" t="s">
        <v>5</v>
      </c>
      <c r="F8" s="46"/>
      <c r="G8" s="47">
        <f>Data_b!C25/1000</f>
        <v>66304.565000000002</v>
      </c>
    </row>
    <row r="9" spans="1:7">
      <c r="A9" s="27" t="s">
        <v>25</v>
      </c>
      <c r="B9" s="45" t="s">
        <v>15</v>
      </c>
      <c r="C9" s="29" t="s">
        <v>553</v>
      </c>
      <c r="D9" s="29" t="s">
        <v>16</v>
      </c>
      <c r="E9" s="29" t="s">
        <v>5</v>
      </c>
      <c r="F9" s="46"/>
      <c r="G9" s="47">
        <f>Data_b!C26/1000</f>
        <v>79306.36</v>
      </c>
    </row>
    <row r="10" spans="1:7">
      <c r="A10" s="27" t="s">
        <v>26</v>
      </c>
      <c r="B10" s="45" t="s">
        <v>31</v>
      </c>
      <c r="C10" s="29" t="s">
        <v>553</v>
      </c>
      <c r="D10" s="29" t="s">
        <v>16</v>
      </c>
      <c r="E10" s="29" t="s">
        <v>5</v>
      </c>
      <c r="F10" s="46"/>
      <c r="G10" s="47">
        <f>Data_b!C27/1000</f>
        <v>68813.756999999998</v>
      </c>
    </row>
    <row r="11" spans="1:7">
      <c r="A11" s="27" t="s">
        <v>27</v>
      </c>
      <c r="B11" s="45" t="s">
        <v>32</v>
      </c>
      <c r="C11" s="29" t="s">
        <v>553</v>
      </c>
      <c r="D11" s="29" t="s">
        <v>16</v>
      </c>
      <c r="E11" s="29" t="s">
        <v>5</v>
      </c>
      <c r="F11" s="46"/>
      <c r="G11" s="47">
        <f>Data_b!C28/1000</f>
        <v>33836.025999999998</v>
      </c>
    </row>
    <row r="12" spans="1:7">
      <c r="A12" s="27" t="s">
        <v>28</v>
      </c>
      <c r="B12" s="45" t="s">
        <v>33</v>
      </c>
      <c r="C12" s="29" t="s">
        <v>553</v>
      </c>
      <c r="D12" s="29" t="s">
        <v>16</v>
      </c>
      <c r="E12" s="29" t="s">
        <v>5</v>
      </c>
      <c r="F12" s="46"/>
      <c r="G12" s="47">
        <f>Data_b!C29/1000</f>
        <v>4768.1540000000005</v>
      </c>
    </row>
    <row r="13" spans="1:7">
      <c r="A13" s="27" t="s">
        <v>29</v>
      </c>
      <c r="B13" s="45" t="s">
        <v>34</v>
      </c>
      <c r="C13" s="29" t="s">
        <v>553</v>
      </c>
      <c r="D13" s="29" t="s">
        <v>16</v>
      </c>
      <c r="E13" s="29" t="s">
        <v>5</v>
      </c>
      <c r="F13" s="46"/>
      <c r="G13" s="47">
        <f>Data_b!C30/1000</f>
        <v>29721.968000000001</v>
      </c>
    </row>
    <row r="14" spans="1:7" ht="15" thickBot="1">
      <c r="A14" s="27" t="s">
        <v>30</v>
      </c>
      <c r="B14" s="45" t="s">
        <v>35</v>
      </c>
      <c r="C14" s="29" t="s">
        <v>553</v>
      </c>
      <c r="D14" s="29" t="s">
        <v>16</v>
      </c>
      <c r="E14" s="29" t="s">
        <v>5</v>
      </c>
      <c r="F14" s="31"/>
      <c r="G14" s="48">
        <f>Data_b!C31/1000</f>
        <v>3527.6610000000001</v>
      </c>
    </row>
    <row r="15" spans="1:7">
      <c r="A15" s="28"/>
      <c r="B15" s="30"/>
      <c r="C15" s="30"/>
      <c r="D15" s="30"/>
      <c r="E15" s="30"/>
      <c r="F15" s="49">
        <f>SUM(F4:F14)</f>
        <v>433048.68999999994</v>
      </c>
      <c r="G15" s="50">
        <f>SUM(Data_b!B16:B22)/1000</f>
        <v>324756.09811609809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7"/>
  <sheetViews>
    <sheetView tabSelected="1" zoomScale="80" zoomScaleNormal="80" workbookViewId="0">
      <selection activeCell="B2" sqref="B2"/>
    </sheetView>
  </sheetViews>
  <sheetFormatPr defaultRowHeight="14.4"/>
  <sheetData>
    <row r="1" spans="2:22">
      <c r="B1" s="12" t="s">
        <v>556</v>
      </c>
      <c r="C1" s="13"/>
      <c r="D1" s="13"/>
      <c r="E1" s="13"/>
    </row>
    <row r="2" spans="2:22">
      <c r="B2" s="1"/>
      <c r="D2" s="1" t="s">
        <v>101</v>
      </c>
    </row>
    <row r="3" spans="2:22">
      <c r="B3" s="1"/>
      <c r="D3" s="14" t="s">
        <v>36</v>
      </c>
      <c r="E3" s="14" t="s">
        <v>38</v>
      </c>
      <c r="F3" s="14" t="s">
        <v>39</v>
      </c>
      <c r="G3" s="14" t="s">
        <v>40</v>
      </c>
      <c r="H3" s="14" t="s">
        <v>41</v>
      </c>
      <c r="I3" s="14" t="s">
        <v>42</v>
      </c>
      <c r="J3" s="14" t="s">
        <v>43</v>
      </c>
      <c r="K3" s="14" t="s">
        <v>45</v>
      </c>
      <c r="L3" s="14" t="s">
        <v>46</v>
      </c>
      <c r="M3" s="14" t="s">
        <v>47</v>
      </c>
      <c r="N3" s="14" t="s">
        <v>49</v>
      </c>
      <c r="O3" s="14" t="s">
        <v>50</v>
      </c>
      <c r="P3" s="14" t="s">
        <v>51</v>
      </c>
      <c r="Q3" s="14" t="s">
        <v>52</v>
      </c>
      <c r="R3" s="14" t="s">
        <v>53</v>
      </c>
      <c r="S3" s="14" t="s">
        <v>54</v>
      </c>
      <c r="T3" s="14" t="s">
        <v>56</v>
      </c>
      <c r="U3" s="14" t="s">
        <v>57</v>
      </c>
      <c r="V3" s="14" t="s">
        <v>58</v>
      </c>
    </row>
    <row r="4" spans="2:22">
      <c r="B4" s="5" t="s">
        <v>59</v>
      </c>
      <c r="C4" s="15">
        <f>SUM(D4:V4)</f>
        <v>0</v>
      </c>
      <c r="D4" s="5"/>
      <c r="E4" s="5"/>
      <c r="F4" s="5"/>
      <c r="G4" s="5"/>
      <c r="H4" s="5"/>
      <c r="I4" s="5"/>
      <c r="J4" s="5"/>
      <c r="K4" s="5"/>
      <c r="L4" s="5"/>
      <c r="M4" s="5"/>
      <c r="N4" s="5"/>
      <c r="O4" s="5"/>
      <c r="P4" s="5"/>
      <c r="Q4" s="5"/>
      <c r="R4" s="5"/>
      <c r="S4" s="5"/>
      <c r="T4" s="5"/>
      <c r="U4" s="5"/>
      <c r="V4" s="5"/>
    </row>
    <row r="5" spans="2:22">
      <c r="B5" s="5" t="s">
        <v>60</v>
      </c>
      <c r="C5" s="15">
        <f t="shared" ref="C5:C47" si="0">SUM(D5:V5)</f>
        <v>509.03899999999999</v>
      </c>
      <c r="D5" s="5">
        <f>SUMIFS(Data_a!$C$14:$C$32,Data_a!$B$14:$B$32,D$3)</f>
        <v>57.743000000000002</v>
      </c>
      <c r="E5" s="5"/>
      <c r="F5" s="5">
        <f>SUMIFS(Data_a!$C$14:$C$32,Data_a!$B$14:$B$32,F$3)</f>
        <v>85.395999999999987</v>
      </c>
      <c r="G5" s="5"/>
      <c r="H5" s="5">
        <f>SUMIFS(Data_a!$C$14:$C$32,Data_a!$B$14:$B$32,H$3)</f>
        <v>77.573999999999998</v>
      </c>
      <c r="I5" s="5">
        <f>SUMIFS(Data_a!$C$14:$C$32,Data_a!$B$14:$B$32,I$3)</f>
        <v>51.468000000000004</v>
      </c>
      <c r="J5" s="5"/>
      <c r="K5" s="5">
        <f>SUMIFS(Data_a!$C$14:$C$32,Data_a!$B$14:$B$32,K$3)</f>
        <v>81.393000000000001</v>
      </c>
      <c r="L5" s="5"/>
      <c r="M5" s="5">
        <f>SUMIFS(Data_a!$C$14:$C$32,Data_a!$B$14:$B$32,M$3)</f>
        <v>77.475000000000009</v>
      </c>
      <c r="N5" s="5"/>
      <c r="O5" s="5">
        <f>SUMIFS(Data_a!$C$14:$C$32,Data_a!$B$14:$B$32,O$3)</f>
        <v>77.989999999999995</v>
      </c>
      <c r="P5" s="5"/>
      <c r="Q5" s="5"/>
      <c r="R5" s="5"/>
      <c r="S5" s="5"/>
      <c r="T5" s="5"/>
      <c r="U5" s="5"/>
      <c r="V5" s="5"/>
    </row>
    <row r="6" spans="2:22">
      <c r="B6" s="5" t="s">
        <v>61</v>
      </c>
      <c r="C6" s="15">
        <f t="shared" si="0"/>
        <v>481.84000000000003</v>
      </c>
      <c r="D6" s="5">
        <f>SUMIFS(Data_a!$C$14:$C$32,Data_a!$B$14:$B$32,D$3)</f>
        <v>57.743000000000002</v>
      </c>
      <c r="E6" s="5"/>
      <c r="F6" s="5">
        <f>SUMIFS(Data_a!$C$14:$C$32,Data_a!$B$14:$B$32,F$3)</f>
        <v>85.395999999999987</v>
      </c>
      <c r="G6" s="5"/>
      <c r="H6" s="5">
        <f>SUMIFS(Data_a!$C$14:$C$32,Data_a!$B$14:$B$32,H$3)</f>
        <v>77.573999999999998</v>
      </c>
      <c r="I6" s="5"/>
      <c r="J6" s="5"/>
      <c r="K6" s="5"/>
      <c r="L6" s="5"/>
      <c r="M6" s="5"/>
      <c r="N6" s="5"/>
      <c r="O6" s="5"/>
      <c r="P6" s="5"/>
      <c r="Q6" s="5"/>
      <c r="R6" s="5">
        <f>SUMIFS(Data_a!$C$14:$C$32,Data_a!$B$14:$B$32,R$3)</f>
        <v>45.941000000000003</v>
      </c>
      <c r="S6" s="5"/>
      <c r="T6" s="5">
        <f>SUMIFS(Data_a!$C$14:$C$32,Data_a!$B$14:$B$32,T$3)</f>
        <v>124.952</v>
      </c>
      <c r="U6" s="5"/>
      <c r="V6" s="5">
        <f>SUMIFS(Data_a!$C$14:$C$32,Data_a!$B$14:$B$32,V$3)</f>
        <v>90.234000000000009</v>
      </c>
    </row>
    <row r="7" spans="2:22">
      <c r="B7" s="5" t="s">
        <v>22</v>
      </c>
      <c r="C7" s="15">
        <f t="shared" si="0"/>
        <v>254.26299999999998</v>
      </c>
      <c r="D7" s="5">
        <f>SUMIFS(Data_a!$C$14:$C$32,Data_a!$B$14:$B$32,D$3)</f>
        <v>57.743000000000002</v>
      </c>
      <c r="E7" s="5"/>
      <c r="F7" s="5">
        <f>SUMIFS(Data_a!$C$14:$C$32,Data_a!$B$14:$B$32,F$3)</f>
        <v>85.395999999999987</v>
      </c>
      <c r="G7" s="5"/>
      <c r="H7" s="5">
        <f>SUMIFS(Data_a!$C$14:$C$32,Data_a!$B$14:$B$32,H$3)</f>
        <v>77.573999999999998</v>
      </c>
      <c r="I7" s="5"/>
      <c r="J7" s="5"/>
      <c r="K7" s="5"/>
      <c r="L7" s="5"/>
      <c r="M7" s="5"/>
      <c r="N7" s="5"/>
      <c r="O7" s="5"/>
      <c r="P7" s="5"/>
      <c r="Q7" s="5">
        <f>SUMIFS(Data_a!$C$14:$C$32,Data_a!$B$14:$B$32,Q$3)</f>
        <v>33.549999999999997</v>
      </c>
      <c r="R7" s="5"/>
      <c r="S7" s="5"/>
      <c r="T7" s="5"/>
      <c r="U7" s="5"/>
      <c r="V7" s="5"/>
    </row>
    <row r="8" spans="2:22">
      <c r="B8" s="5" t="s">
        <v>62</v>
      </c>
      <c r="C8" s="15">
        <f t="shared" si="0"/>
        <v>416.85699999999997</v>
      </c>
      <c r="D8" s="5">
        <f>SUMIFS(Data_a!$C$14:$C$32,Data_a!$B$14:$B$32,D$3)</f>
        <v>57.743000000000002</v>
      </c>
      <c r="E8" s="5"/>
      <c r="F8" s="5">
        <f>SUMIFS(Data_a!$C$14:$C$32,Data_a!$B$14:$B$32,F$3)</f>
        <v>85.395999999999987</v>
      </c>
      <c r="G8" s="5"/>
      <c r="H8" s="5">
        <f>SUMIFS(Data_a!$C$14:$C$32,Data_a!$B$14:$B$32,H$3)</f>
        <v>77.573999999999998</v>
      </c>
      <c r="I8" s="5"/>
      <c r="J8" s="5"/>
      <c r="K8" s="5"/>
      <c r="L8" s="5"/>
      <c r="M8" s="5"/>
      <c r="N8" s="5"/>
      <c r="O8" s="5"/>
      <c r="P8" s="5"/>
      <c r="Q8" s="5"/>
      <c r="R8" s="5"/>
      <c r="S8" s="5"/>
      <c r="T8" s="5"/>
      <c r="U8" s="5">
        <f>SUMIFS(Data_a!$C$14:$C$32,Data_a!$B$14:$B$32,U$3)</f>
        <v>105.91000000000001</v>
      </c>
      <c r="V8" s="5">
        <f>SUMIFS(Data_a!$C$14:$C$32,Data_a!$B$14:$B$32,V$3)</f>
        <v>90.234000000000009</v>
      </c>
    </row>
    <row r="9" spans="2:22">
      <c r="B9" s="5" t="s">
        <v>63</v>
      </c>
      <c r="C9" s="15">
        <f t="shared" si="0"/>
        <v>434.01900000000001</v>
      </c>
      <c r="D9" s="5">
        <f>SUMIFS(Data_a!$C$14:$C$32,Data_a!$B$14:$B$32,D$3)</f>
        <v>57.743000000000002</v>
      </c>
      <c r="E9" s="5"/>
      <c r="F9" s="5">
        <f>SUMIFS(Data_a!$C$14:$C$32,Data_a!$B$14:$B$32,F$3)</f>
        <v>85.395999999999987</v>
      </c>
      <c r="G9" s="5"/>
      <c r="H9" s="5">
        <f>SUMIFS(Data_a!$C$14:$C$32,Data_a!$B$14:$B$32,H$3)</f>
        <v>77.573999999999998</v>
      </c>
      <c r="I9" s="5"/>
      <c r="J9" s="5"/>
      <c r="K9" s="5"/>
      <c r="L9" s="5">
        <f>SUMIFS(Data_a!$C$14:$C$32,Data_a!$B$14:$B$32,L$3)</f>
        <v>57.841000000000001</v>
      </c>
      <c r="M9" s="5">
        <f>SUMIFS(Data_a!$C$14:$C$32,Data_a!$B$14:$B$32,M$3)</f>
        <v>77.475000000000009</v>
      </c>
      <c r="N9" s="5"/>
      <c r="O9" s="5">
        <f>SUMIFS(Data_a!$C$14:$C$32,Data_a!$B$14:$B$32,O$3)</f>
        <v>77.989999999999995</v>
      </c>
      <c r="P9" s="5"/>
      <c r="Q9" s="5"/>
      <c r="R9" s="5"/>
      <c r="S9" s="5"/>
      <c r="T9" s="5"/>
      <c r="U9" s="5"/>
      <c r="V9" s="5"/>
    </row>
    <row r="10" spans="2:22">
      <c r="B10" s="5" t="s">
        <v>64</v>
      </c>
      <c r="C10" s="15">
        <f t="shared" si="0"/>
        <v>290.23699999999997</v>
      </c>
      <c r="D10" s="5">
        <f>SUMIFS(Data_a!$C$14:$C$32,Data_a!$B$14:$B$32,D$3)</f>
        <v>57.743000000000002</v>
      </c>
      <c r="E10" s="5"/>
      <c r="F10" s="5">
        <f>SUMIFS(Data_a!$C$14:$C$32,Data_a!$B$14:$B$32,F$3)</f>
        <v>85.395999999999987</v>
      </c>
      <c r="G10" s="5"/>
      <c r="H10" s="5">
        <f>SUMIFS(Data_a!$C$14:$C$32,Data_a!$B$14:$B$32,H$3)</f>
        <v>77.573999999999998</v>
      </c>
      <c r="I10" s="5"/>
      <c r="J10" s="5"/>
      <c r="K10" s="5"/>
      <c r="L10" s="5"/>
      <c r="M10" s="5"/>
      <c r="N10" s="5"/>
      <c r="O10" s="5"/>
      <c r="P10" s="5">
        <f>SUMIFS(Data_a!$C$14:$C$32,Data_a!$B$14:$B$32,P$3)</f>
        <v>35.974000000000004</v>
      </c>
      <c r="Q10" s="5">
        <f>SUMIFS(Data_a!$C$14:$C$32,Data_a!$B$14:$B$32,Q$3)</f>
        <v>33.549999999999997</v>
      </c>
      <c r="R10" s="5"/>
      <c r="S10" s="5"/>
      <c r="T10" s="5"/>
      <c r="U10" s="5"/>
      <c r="V10" s="5"/>
    </row>
    <row r="11" spans="2:22">
      <c r="B11" s="5" t="s">
        <v>65</v>
      </c>
      <c r="C11" s="15">
        <f t="shared" si="0"/>
        <v>148.19899999999998</v>
      </c>
      <c r="D11" s="5">
        <f>SUMIFS(Data_a!$C$14:$C$32,Data_a!$B$14:$B$32,D$3)</f>
        <v>57.743000000000002</v>
      </c>
      <c r="E11" s="5"/>
      <c r="F11" s="5">
        <f>SUMIFS(Data_a!$C$14:$C$32,Data_a!$B$14:$B$32,F$3)</f>
        <v>85.395999999999987</v>
      </c>
      <c r="G11" s="5">
        <f>SUMIFS(Data_a!$C$14:$C$32,Data_a!$B$14:$B$32,G$3)</f>
        <v>5.0599999999999996</v>
      </c>
      <c r="H11" s="5"/>
      <c r="I11" s="5"/>
      <c r="J11" s="5"/>
      <c r="K11" s="5"/>
      <c r="L11" s="5"/>
      <c r="M11" s="5"/>
      <c r="N11" s="5"/>
      <c r="O11" s="5"/>
      <c r="P11" s="5"/>
      <c r="Q11" s="5"/>
      <c r="R11" s="5"/>
      <c r="S11" s="5"/>
      <c r="T11" s="5"/>
      <c r="U11" s="5"/>
      <c r="V11" s="5"/>
    </row>
    <row r="12" spans="2:22">
      <c r="B12" s="5" t="s">
        <v>66</v>
      </c>
      <c r="C12" s="15">
        <f t="shared" si="0"/>
        <v>477.80899999999997</v>
      </c>
      <c r="D12" s="5">
        <f>SUMIFS(Data_a!$C$14:$C$32,Data_a!$B$14:$B$32,D$3)</f>
        <v>57.743000000000002</v>
      </c>
      <c r="E12" s="5"/>
      <c r="F12" s="5">
        <f>SUMIFS(Data_a!$C$14:$C$32,Data_a!$B$14:$B$32,F$3)</f>
        <v>85.395999999999987</v>
      </c>
      <c r="G12" s="5"/>
      <c r="H12" s="5">
        <f>SUMIFS(Data_a!$C$14:$C$32,Data_a!$B$14:$B$32,H$3)</f>
        <v>77.573999999999998</v>
      </c>
      <c r="I12" s="5"/>
      <c r="J12" s="5">
        <f>SUMIFS(Data_a!$C$14:$C$32,Data_a!$B$14:$B$32,J$3)</f>
        <v>20.238000000000003</v>
      </c>
      <c r="K12" s="5">
        <f>SUMIFS(Data_a!$C$14:$C$32,Data_a!$B$14:$B$32,K$3)</f>
        <v>81.393000000000001</v>
      </c>
      <c r="L12" s="5"/>
      <c r="M12" s="5">
        <f>SUMIFS(Data_a!$C$14:$C$32,Data_a!$B$14:$B$32,M$3)</f>
        <v>77.475000000000009</v>
      </c>
      <c r="N12" s="5"/>
      <c r="O12" s="5">
        <f>SUMIFS(Data_a!$C$14:$C$32,Data_a!$B$14:$B$32,O$3)</f>
        <v>77.989999999999995</v>
      </c>
      <c r="P12" s="5"/>
      <c r="Q12" s="5"/>
      <c r="R12" s="5"/>
      <c r="S12" s="5"/>
      <c r="T12" s="5"/>
      <c r="U12" s="5"/>
      <c r="V12" s="5"/>
    </row>
    <row r="13" spans="2:22">
      <c r="B13" s="5" t="s">
        <v>67</v>
      </c>
      <c r="C13" s="15">
        <f t="shared" si="0"/>
        <v>441.00900000000001</v>
      </c>
      <c r="D13" s="5">
        <f>SUMIFS(Data_a!$C$14:$C$32,Data_a!$B$14:$B$32,D$3)</f>
        <v>57.743000000000002</v>
      </c>
      <c r="E13" s="5"/>
      <c r="F13" s="5">
        <f>SUMIFS(Data_a!$C$14:$C$32,Data_a!$B$14:$B$32,F$3)</f>
        <v>85.395999999999987</v>
      </c>
      <c r="G13" s="5"/>
      <c r="H13" s="5">
        <f>SUMIFS(Data_a!$C$14:$C$32,Data_a!$B$14:$B$32,H$3)</f>
        <v>77.573999999999998</v>
      </c>
      <c r="I13" s="5"/>
      <c r="J13" s="5"/>
      <c r="K13" s="5"/>
      <c r="L13" s="5"/>
      <c r="M13" s="5"/>
      <c r="N13" s="5"/>
      <c r="O13" s="5"/>
      <c r="P13" s="5"/>
      <c r="Q13" s="5"/>
      <c r="R13" s="5"/>
      <c r="S13" s="5">
        <f>SUMIFS(Data_a!$C$14:$C$32,Data_a!$B$14:$B$32,S$3)</f>
        <v>5.1099999999999994</v>
      </c>
      <c r="T13" s="5">
        <f>SUMIFS(Data_a!$C$14:$C$32,Data_a!$B$14:$B$32,T$3)</f>
        <v>124.952</v>
      </c>
      <c r="U13" s="5"/>
      <c r="V13" s="5">
        <f>SUMIFS(Data_a!$C$14:$C$32,Data_a!$B$14:$B$32,V$3)</f>
        <v>90.234000000000009</v>
      </c>
    </row>
    <row r="14" spans="2:22">
      <c r="B14" s="5" t="s">
        <v>68</v>
      </c>
      <c r="C14" s="15">
        <f t="shared" si="0"/>
        <v>274.86</v>
      </c>
      <c r="D14" s="5">
        <f>SUMIFS(Data_a!$C$14:$C$32,Data_a!$B$14:$B$32,D$3)</f>
        <v>57.743000000000002</v>
      </c>
      <c r="E14" s="5">
        <f>SUMIFS(Data_a!$C$14:$C$32,Data_a!$B$14:$B$32,E$3)</f>
        <v>217.11699999999999</v>
      </c>
      <c r="F14" s="5"/>
      <c r="G14" s="5"/>
      <c r="H14" s="5"/>
      <c r="I14" s="5"/>
      <c r="J14" s="5"/>
      <c r="K14" s="5"/>
      <c r="L14" s="5"/>
      <c r="M14" s="5"/>
      <c r="N14" s="5"/>
      <c r="O14" s="5"/>
      <c r="P14" s="5"/>
      <c r="Q14" s="5"/>
      <c r="R14" s="5"/>
      <c r="S14" s="5"/>
      <c r="T14" s="5"/>
      <c r="U14" s="5"/>
      <c r="V14" s="5"/>
    </row>
    <row r="15" spans="2:22">
      <c r="B15" s="5" t="s">
        <v>69</v>
      </c>
      <c r="C15" s="15">
        <f t="shared" si="0"/>
        <v>509.03899999999999</v>
      </c>
      <c r="D15" s="5">
        <f>SUMIFS(Data_a!$C$14:$C$32,Data_a!$B$14:$B$32,D$3)</f>
        <v>57.743000000000002</v>
      </c>
      <c r="E15" s="5"/>
      <c r="F15" s="5">
        <f>SUMIFS(Data_a!$C$14:$C$32,Data_a!$B$14:$B$32,F$3)</f>
        <v>85.395999999999987</v>
      </c>
      <c r="G15" s="5"/>
      <c r="H15" s="5">
        <f>SUMIFS(Data_a!$C$14:$C$32,Data_a!$B$14:$B$32,H$3)</f>
        <v>77.573999999999998</v>
      </c>
      <c r="I15" s="5">
        <f>SUMIFS(Data_a!$C$14:$C$32,Data_a!$B$14:$B$32,I$3)</f>
        <v>51.468000000000004</v>
      </c>
      <c r="J15" s="5"/>
      <c r="K15" s="5">
        <f>SUMIFS(Data_a!$C$14:$C$32,Data_a!$B$14:$B$32,K$3)</f>
        <v>81.393000000000001</v>
      </c>
      <c r="L15" s="5"/>
      <c r="M15" s="5">
        <f>SUMIFS(Data_a!$C$14:$C$32,Data_a!$B$14:$B$32,M$3)</f>
        <v>77.475000000000009</v>
      </c>
      <c r="N15" s="5"/>
      <c r="O15" s="5">
        <f>SUMIFS(Data_a!$C$14:$C$32,Data_a!$B$14:$B$32,O$3)</f>
        <v>77.989999999999995</v>
      </c>
      <c r="P15" s="5"/>
      <c r="Q15" s="5"/>
      <c r="R15" s="5"/>
      <c r="S15" s="5"/>
      <c r="T15" s="5"/>
      <c r="U15" s="5"/>
      <c r="V15" s="5"/>
    </row>
    <row r="16" spans="2:22">
      <c r="B16" s="5" t="s">
        <v>70</v>
      </c>
      <c r="C16" s="15">
        <f t="shared" si="0"/>
        <v>0</v>
      </c>
      <c r="D16" s="5"/>
      <c r="E16" s="5"/>
      <c r="F16" s="5"/>
      <c r="G16" s="5"/>
      <c r="H16" s="5"/>
      <c r="I16" s="5"/>
      <c r="J16" s="5"/>
      <c r="K16" s="5"/>
      <c r="L16" s="5"/>
      <c r="M16" s="5"/>
      <c r="N16" s="5"/>
      <c r="O16" s="5"/>
      <c r="P16" s="5"/>
      <c r="Q16" s="5"/>
      <c r="R16" s="5"/>
      <c r="S16" s="5"/>
      <c r="T16" s="5"/>
      <c r="U16" s="5"/>
      <c r="V16" s="5"/>
    </row>
    <row r="17" spans="2:22">
      <c r="B17" s="5" t="s">
        <v>71</v>
      </c>
      <c r="C17" s="15">
        <f t="shared" si="0"/>
        <v>549.45300000000009</v>
      </c>
      <c r="D17" s="5"/>
      <c r="E17" s="5"/>
      <c r="F17" s="5"/>
      <c r="G17" s="5"/>
      <c r="H17" s="5"/>
      <c r="I17" s="5">
        <f>SUMIFS(Data_a!$C$14:$C$32,Data_a!$B$14:$B$32,I$3)</f>
        <v>51.468000000000004</v>
      </c>
      <c r="J17" s="5"/>
      <c r="K17" s="5">
        <f>SUMIFS(Data_a!$C$14:$C$32,Data_a!$B$14:$B$32,K$3)</f>
        <v>81.393000000000001</v>
      </c>
      <c r="L17" s="5"/>
      <c r="M17" s="5">
        <f>SUMIFS(Data_a!$C$14:$C$32,Data_a!$B$14:$B$32,M$3)</f>
        <v>77.475000000000009</v>
      </c>
      <c r="N17" s="5"/>
      <c r="O17" s="5">
        <f>SUMIFS(Data_a!$C$14:$C$32,Data_a!$B$14:$B$32,O$3)</f>
        <v>77.989999999999995</v>
      </c>
      <c r="P17" s="5"/>
      <c r="Q17" s="5"/>
      <c r="R17" s="5">
        <f>SUMIFS(Data_a!$C$14:$C$32,Data_a!$B$14:$B$32,R$3)</f>
        <v>45.941000000000003</v>
      </c>
      <c r="S17" s="5"/>
      <c r="T17" s="5">
        <f>SUMIFS(Data_a!$C$14:$C$32,Data_a!$B$14:$B$32,T$3)</f>
        <v>124.952</v>
      </c>
      <c r="U17" s="5"/>
      <c r="V17" s="5">
        <f>SUMIFS(Data_a!$C$14:$C$32,Data_a!$B$14:$B$32,V$3)</f>
        <v>90.234000000000009</v>
      </c>
    </row>
    <row r="18" spans="2:22">
      <c r="B18" s="5" t="s">
        <v>72</v>
      </c>
      <c r="C18" s="15">
        <f t="shared" si="0"/>
        <v>321.87600000000003</v>
      </c>
      <c r="D18" s="5"/>
      <c r="E18" s="5"/>
      <c r="F18" s="5"/>
      <c r="G18" s="5"/>
      <c r="H18" s="5"/>
      <c r="I18" s="5">
        <f>SUMIFS(Data_a!$C$14:$C$32,Data_a!$B$14:$B$32,I$3)</f>
        <v>51.468000000000004</v>
      </c>
      <c r="J18" s="5"/>
      <c r="K18" s="5">
        <f>SUMIFS(Data_a!$C$14:$C$32,Data_a!$B$14:$B$32,K$3)</f>
        <v>81.393000000000001</v>
      </c>
      <c r="L18" s="5"/>
      <c r="M18" s="5">
        <f>SUMIFS(Data_a!$C$14:$C$32,Data_a!$B$14:$B$32,M$3)</f>
        <v>77.475000000000009</v>
      </c>
      <c r="N18" s="5"/>
      <c r="O18" s="5">
        <f>SUMIFS(Data_a!$C$14:$C$32,Data_a!$B$14:$B$32,O$3)</f>
        <v>77.989999999999995</v>
      </c>
      <c r="P18" s="5"/>
      <c r="Q18" s="5">
        <f>SUMIFS(Data_a!$C$14:$C$32,Data_a!$B$14:$B$32,Q$3)</f>
        <v>33.549999999999997</v>
      </c>
      <c r="R18" s="5"/>
      <c r="S18" s="5"/>
      <c r="T18" s="5"/>
      <c r="U18" s="5"/>
      <c r="V18" s="5"/>
    </row>
    <row r="19" spans="2:22">
      <c r="B19" s="5" t="s">
        <v>73</v>
      </c>
      <c r="C19" s="15">
        <f t="shared" si="0"/>
        <v>484.47</v>
      </c>
      <c r="D19" s="5"/>
      <c r="E19" s="5"/>
      <c r="F19" s="5"/>
      <c r="G19" s="5"/>
      <c r="H19" s="5"/>
      <c r="I19" s="5">
        <f>SUMIFS(Data_a!$C$14:$C$32,Data_a!$B$14:$B$32,I$3)</f>
        <v>51.468000000000004</v>
      </c>
      <c r="J19" s="5"/>
      <c r="K19" s="5">
        <f>SUMIFS(Data_a!$C$14:$C$32,Data_a!$B$14:$B$32,K$3)</f>
        <v>81.393000000000001</v>
      </c>
      <c r="L19" s="5"/>
      <c r="M19" s="5">
        <f>SUMIFS(Data_a!$C$14:$C$32,Data_a!$B$14:$B$32,M$3)</f>
        <v>77.475000000000009</v>
      </c>
      <c r="N19" s="5"/>
      <c r="O19" s="5">
        <f>SUMIFS(Data_a!$C$14:$C$32,Data_a!$B$14:$B$32,O$3)</f>
        <v>77.989999999999995</v>
      </c>
      <c r="P19" s="5"/>
      <c r="Q19" s="5"/>
      <c r="R19" s="5"/>
      <c r="S19" s="5"/>
      <c r="T19" s="5"/>
      <c r="U19" s="5">
        <f>SUMIFS(Data_a!$C$14:$C$32,Data_a!$B$14:$B$32,U$3)</f>
        <v>105.91000000000001</v>
      </c>
      <c r="V19" s="5">
        <f>SUMIFS(Data_a!$C$14:$C$32,Data_a!$B$14:$B$32,V$3)</f>
        <v>90.234000000000009</v>
      </c>
    </row>
    <row r="20" spans="2:22">
      <c r="B20" s="5" t="s">
        <v>74</v>
      </c>
      <c r="C20" s="15">
        <f t="shared" si="0"/>
        <v>190.702</v>
      </c>
      <c r="D20" s="5"/>
      <c r="E20" s="5"/>
      <c r="F20" s="5"/>
      <c r="G20" s="5"/>
      <c r="H20" s="5"/>
      <c r="I20" s="5">
        <f>SUMIFS(Data_a!$C$14:$C$32,Data_a!$B$14:$B$32,I$3)</f>
        <v>51.468000000000004</v>
      </c>
      <c r="J20" s="5"/>
      <c r="K20" s="5">
        <f>SUMIFS(Data_a!$C$14:$C$32,Data_a!$B$14:$B$32,K$3)</f>
        <v>81.393000000000001</v>
      </c>
      <c r="L20" s="5">
        <f>SUMIFS(Data_a!$C$14:$C$32,Data_a!$B$14:$B$32,L$3)</f>
        <v>57.841000000000001</v>
      </c>
      <c r="M20" s="5"/>
      <c r="N20" s="5"/>
      <c r="O20" s="5"/>
      <c r="P20" s="5"/>
      <c r="Q20" s="5"/>
      <c r="R20" s="5"/>
      <c r="S20" s="5"/>
      <c r="T20" s="5"/>
      <c r="U20" s="5"/>
      <c r="V20" s="5"/>
    </row>
    <row r="21" spans="2:22">
      <c r="B21" s="5" t="s">
        <v>75</v>
      </c>
      <c r="C21" s="15">
        <f t="shared" si="0"/>
        <v>357.85</v>
      </c>
      <c r="D21" s="5"/>
      <c r="E21" s="5"/>
      <c r="F21" s="5"/>
      <c r="G21" s="5"/>
      <c r="H21" s="5"/>
      <c r="I21" s="5">
        <f>SUMIFS(Data_a!$C$14:$C$32,Data_a!$B$14:$B$32,I$3)</f>
        <v>51.468000000000004</v>
      </c>
      <c r="J21" s="5"/>
      <c r="K21" s="5">
        <f>SUMIFS(Data_a!$C$14:$C$32,Data_a!$B$14:$B$32,K$3)</f>
        <v>81.393000000000001</v>
      </c>
      <c r="L21" s="5"/>
      <c r="M21" s="5">
        <f>SUMIFS(Data_a!$C$14:$C$32,Data_a!$B$14:$B$32,M$3)</f>
        <v>77.475000000000009</v>
      </c>
      <c r="N21" s="5"/>
      <c r="O21" s="5">
        <f>SUMIFS(Data_a!$C$14:$C$32,Data_a!$B$14:$B$32,O$3)</f>
        <v>77.989999999999995</v>
      </c>
      <c r="P21" s="5">
        <f>SUMIFS(Data_a!$C$14:$C$32,Data_a!$B$14:$B$32,P$3)</f>
        <v>35.974000000000004</v>
      </c>
      <c r="Q21" s="5">
        <f>SUMIFS(Data_a!$C$14:$C$32,Data_a!$B$14:$B$32,Q$3)</f>
        <v>33.549999999999997</v>
      </c>
      <c r="R21" s="5"/>
      <c r="S21" s="5"/>
      <c r="T21" s="5"/>
      <c r="U21" s="5"/>
      <c r="V21" s="5"/>
    </row>
    <row r="22" spans="2:22">
      <c r="B22" s="5" t="s">
        <v>76</v>
      </c>
      <c r="C22" s="15">
        <f t="shared" si="0"/>
        <v>370.96000000000004</v>
      </c>
      <c r="D22" s="5"/>
      <c r="E22" s="5"/>
      <c r="F22" s="5"/>
      <c r="G22" s="5">
        <f>SUMIFS(Data_a!$C$14:$C$32,Data_a!$B$14:$B$32,G$3)</f>
        <v>5.0599999999999996</v>
      </c>
      <c r="H22" s="5">
        <f>SUMIFS(Data_a!$C$14:$C$32,Data_a!$B$14:$B$32,H$3)</f>
        <v>77.573999999999998</v>
      </c>
      <c r="I22" s="5">
        <f>SUMIFS(Data_a!$C$14:$C$32,Data_a!$B$14:$B$32,I$3)</f>
        <v>51.468000000000004</v>
      </c>
      <c r="J22" s="5"/>
      <c r="K22" s="5">
        <f>SUMIFS(Data_a!$C$14:$C$32,Data_a!$B$14:$B$32,K$3)</f>
        <v>81.393000000000001</v>
      </c>
      <c r="L22" s="5"/>
      <c r="M22" s="5">
        <f>SUMIFS(Data_a!$C$14:$C$32,Data_a!$B$14:$B$32,M$3)</f>
        <v>77.475000000000009</v>
      </c>
      <c r="N22" s="5"/>
      <c r="O22" s="5">
        <f>SUMIFS(Data_a!$C$14:$C$32,Data_a!$B$14:$B$32,O$3)</f>
        <v>77.989999999999995</v>
      </c>
      <c r="P22" s="5"/>
      <c r="Q22" s="5"/>
      <c r="R22" s="5"/>
      <c r="S22" s="5"/>
      <c r="T22" s="5"/>
      <c r="U22" s="5"/>
      <c r="V22" s="5"/>
    </row>
    <row r="23" spans="2:22">
      <c r="B23" s="5" t="s">
        <v>77</v>
      </c>
      <c r="C23" s="15">
        <f t="shared" si="0"/>
        <v>71.706000000000003</v>
      </c>
      <c r="D23" s="5"/>
      <c r="E23" s="5"/>
      <c r="F23" s="5"/>
      <c r="G23" s="5"/>
      <c r="H23" s="5"/>
      <c r="I23" s="5">
        <f>SUMIFS(Data_a!$C$14:$C$32,Data_a!$B$14:$B$32,I$3)</f>
        <v>51.468000000000004</v>
      </c>
      <c r="J23" s="5">
        <f>SUMIFS(Data_a!$C$14:$C$32,Data_a!$B$14:$B$32,J$3)</f>
        <v>20.238000000000003</v>
      </c>
      <c r="K23" s="5"/>
      <c r="L23" s="5"/>
      <c r="M23" s="5"/>
      <c r="N23" s="5"/>
      <c r="O23" s="5"/>
      <c r="P23" s="5"/>
      <c r="Q23" s="5"/>
      <c r="R23" s="5"/>
      <c r="S23" s="5"/>
      <c r="T23" s="5"/>
      <c r="U23" s="5"/>
      <c r="V23" s="5"/>
    </row>
    <row r="24" spans="2:22">
      <c r="B24" s="5" t="s">
        <v>78</v>
      </c>
      <c r="C24" s="15">
        <f t="shared" si="0"/>
        <v>508.62200000000007</v>
      </c>
      <c r="D24" s="5"/>
      <c r="E24" s="5"/>
      <c r="F24" s="5"/>
      <c r="G24" s="5"/>
      <c r="H24" s="5"/>
      <c r="I24" s="5">
        <f>SUMIFS(Data_a!$C$14:$C$32,Data_a!$B$14:$B$32,I$3)</f>
        <v>51.468000000000004</v>
      </c>
      <c r="J24" s="5"/>
      <c r="K24" s="5">
        <f>SUMIFS(Data_a!$C$14:$C$32,Data_a!$B$14:$B$32,K$3)</f>
        <v>81.393000000000001</v>
      </c>
      <c r="L24" s="5"/>
      <c r="M24" s="5">
        <f>SUMIFS(Data_a!$C$14:$C$32,Data_a!$B$14:$B$32,M$3)</f>
        <v>77.475000000000009</v>
      </c>
      <c r="N24" s="5"/>
      <c r="O24" s="5">
        <f>SUMIFS(Data_a!$C$14:$C$32,Data_a!$B$14:$B$32,O$3)</f>
        <v>77.989999999999995</v>
      </c>
      <c r="P24" s="5"/>
      <c r="Q24" s="5"/>
      <c r="R24" s="5"/>
      <c r="S24" s="5">
        <f>SUMIFS(Data_a!$C$14:$C$32,Data_a!$B$14:$B$32,S$3)</f>
        <v>5.1099999999999994</v>
      </c>
      <c r="T24" s="5">
        <f>SUMIFS(Data_a!$C$14:$C$32,Data_a!$B$14:$B$32,T$3)</f>
        <v>124.952</v>
      </c>
      <c r="U24" s="5"/>
      <c r="V24" s="5">
        <f>SUMIFS(Data_a!$C$14:$C$32,Data_a!$B$14:$B$32,V$3)</f>
        <v>90.234000000000009</v>
      </c>
    </row>
    <row r="25" spans="2:22">
      <c r="B25" s="5" t="s">
        <v>79</v>
      </c>
      <c r="C25" s="15">
        <f t="shared" si="0"/>
        <v>334.01</v>
      </c>
      <c r="D25" s="5"/>
      <c r="E25" s="5"/>
      <c r="F25" s="5"/>
      <c r="G25" s="5"/>
      <c r="H25" s="5"/>
      <c r="I25" s="5">
        <f>SUMIFS(Data_a!$C$14:$C$32,Data_a!$B$14:$B$32,I$3)</f>
        <v>51.468000000000004</v>
      </c>
      <c r="J25" s="5"/>
      <c r="K25" s="5">
        <f>SUMIFS(Data_a!$C$14:$C$32,Data_a!$B$14:$B$32,K$3)</f>
        <v>81.393000000000001</v>
      </c>
      <c r="L25" s="5"/>
      <c r="M25" s="5">
        <f>SUMIFS(Data_a!$C$14:$C$32,Data_a!$B$14:$B$32,M$3)</f>
        <v>77.475000000000009</v>
      </c>
      <c r="N25" s="5">
        <f>SUMIFS(Data_a!$C$14:$C$32,Data_a!$B$14:$B$32,N$3)</f>
        <v>123.67399999999999</v>
      </c>
      <c r="O25" s="5"/>
      <c r="P25" s="5"/>
      <c r="Q25" s="5"/>
      <c r="R25" s="5"/>
      <c r="S25" s="5"/>
      <c r="T25" s="5"/>
      <c r="U25" s="5"/>
      <c r="V25" s="5"/>
    </row>
    <row r="26" spans="2:22">
      <c r="B26" s="5" t="s">
        <v>80</v>
      </c>
      <c r="C26" s="15">
        <f t="shared" si="0"/>
        <v>481.84000000000003</v>
      </c>
      <c r="D26" s="5">
        <f>SUMIFS(Data_a!$C$14:$C$32,Data_a!$B$14:$B$32,D$3)</f>
        <v>57.743000000000002</v>
      </c>
      <c r="E26" s="5"/>
      <c r="F26" s="5">
        <f>SUMIFS(Data_a!$C$14:$C$32,Data_a!$B$14:$B$32,F$3)</f>
        <v>85.395999999999987</v>
      </c>
      <c r="G26" s="5"/>
      <c r="H26" s="5">
        <f>SUMIFS(Data_a!$C$14:$C$32,Data_a!$B$14:$B$32,H$3)</f>
        <v>77.573999999999998</v>
      </c>
      <c r="I26" s="5"/>
      <c r="J26" s="5"/>
      <c r="K26" s="5"/>
      <c r="L26" s="5"/>
      <c r="M26" s="5"/>
      <c r="N26" s="5"/>
      <c r="O26" s="5"/>
      <c r="P26" s="5"/>
      <c r="Q26" s="5"/>
      <c r="R26" s="5">
        <f>SUMIFS(Data_a!$C$14:$C$32,Data_a!$B$14:$B$32,R$3)</f>
        <v>45.941000000000003</v>
      </c>
      <c r="S26" s="5"/>
      <c r="T26" s="5">
        <f>SUMIFS(Data_a!$C$14:$C$32,Data_a!$B$14:$B$32,T$3)</f>
        <v>124.952</v>
      </c>
      <c r="U26" s="5"/>
      <c r="V26" s="5">
        <f>SUMIFS(Data_a!$C$14:$C$32,Data_a!$B$14:$B$32,V$3)</f>
        <v>90.234000000000009</v>
      </c>
    </row>
    <row r="27" spans="2:22">
      <c r="B27" s="5" t="s">
        <v>81</v>
      </c>
      <c r="C27" s="15">
        <f t="shared" si="0"/>
        <v>549.45300000000009</v>
      </c>
      <c r="D27" s="5"/>
      <c r="E27" s="5"/>
      <c r="F27" s="5"/>
      <c r="G27" s="5"/>
      <c r="H27" s="5"/>
      <c r="I27" s="5">
        <f>SUMIFS(Data_a!$C$14:$C$32,Data_a!$B$14:$B$32,I$3)</f>
        <v>51.468000000000004</v>
      </c>
      <c r="J27" s="5"/>
      <c r="K27" s="5">
        <f>SUMIFS(Data_a!$C$14:$C$32,Data_a!$B$14:$B$32,K$3)</f>
        <v>81.393000000000001</v>
      </c>
      <c r="L27" s="5"/>
      <c r="M27" s="5">
        <f>SUMIFS(Data_a!$C$14:$C$32,Data_a!$B$14:$B$32,M$3)</f>
        <v>77.475000000000009</v>
      </c>
      <c r="N27" s="5"/>
      <c r="O27" s="5">
        <f>SUMIFS(Data_a!$C$14:$C$32,Data_a!$B$14:$B$32,O$3)</f>
        <v>77.989999999999995</v>
      </c>
      <c r="P27" s="5"/>
      <c r="Q27" s="5"/>
      <c r="R27" s="5">
        <f>SUMIFS(Data_a!$C$14:$C$32,Data_a!$B$14:$B$32,R$3)</f>
        <v>45.941000000000003</v>
      </c>
      <c r="S27" s="5"/>
      <c r="T27" s="5">
        <f>SUMIFS(Data_a!$C$14:$C$32,Data_a!$B$14:$B$32,T$3)</f>
        <v>124.952</v>
      </c>
      <c r="U27" s="5"/>
      <c r="V27" s="5">
        <f>SUMIFS(Data_a!$C$14:$C$32,Data_a!$B$14:$B$32,V$3)</f>
        <v>90.234000000000009</v>
      </c>
    </row>
    <row r="28" spans="2:22">
      <c r="B28" s="5" t="s">
        <v>82</v>
      </c>
      <c r="C28" s="15">
        <f t="shared" si="0"/>
        <v>0</v>
      </c>
      <c r="D28" s="5"/>
      <c r="E28" s="5"/>
      <c r="F28" s="5"/>
      <c r="G28" s="5"/>
      <c r="H28" s="5"/>
      <c r="I28" s="5"/>
      <c r="J28" s="5"/>
      <c r="K28" s="5"/>
      <c r="L28" s="5"/>
      <c r="M28" s="5"/>
      <c r="N28" s="5"/>
      <c r="O28" s="5"/>
      <c r="P28" s="5"/>
      <c r="Q28" s="5"/>
      <c r="R28" s="5"/>
      <c r="S28" s="5"/>
      <c r="T28" s="5"/>
      <c r="U28" s="5"/>
      <c r="V28" s="5"/>
    </row>
    <row r="29" spans="2:22">
      <c r="B29" s="5" t="s">
        <v>83</v>
      </c>
      <c r="C29" s="15">
        <f t="shared" si="0"/>
        <v>294.67700000000002</v>
      </c>
      <c r="D29" s="5"/>
      <c r="E29" s="5"/>
      <c r="F29" s="5"/>
      <c r="G29" s="5"/>
      <c r="H29" s="5"/>
      <c r="I29" s="5"/>
      <c r="J29" s="5"/>
      <c r="K29" s="5"/>
      <c r="L29" s="5"/>
      <c r="M29" s="5"/>
      <c r="N29" s="5"/>
      <c r="O29" s="5"/>
      <c r="P29" s="5"/>
      <c r="Q29" s="5">
        <f>SUMIFS(Data_a!$C$14:$C$32,Data_a!$B$14:$B$32,Q$3)</f>
        <v>33.549999999999997</v>
      </c>
      <c r="R29" s="5">
        <f>SUMIFS(Data_a!$C$14:$C$32,Data_a!$B$14:$B$32,R$3)</f>
        <v>45.941000000000003</v>
      </c>
      <c r="S29" s="5"/>
      <c r="T29" s="5">
        <f>SUMIFS(Data_a!$C$14:$C$32,Data_a!$B$14:$B$32,T$3)</f>
        <v>124.952</v>
      </c>
      <c r="U29" s="5"/>
      <c r="V29" s="5">
        <f>SUMIFS(Data_a!$C$14:$C$32,Data_a!$B$14:$B$32,V$3)</f>
        <v>90.234000000000009</v>
      </c>
    </row>
    <row r="30" spans="2:22">
      <c r="B30" s="5" t="s">
        <v>84</v>
      </c>
      <c r="C30" s="15">
        <f t="shared" si="0"/>
        <v>276.803</v>
      </c>
      <c r="D30" s="5"/>
      <c r="E30" s="5"/>
      <c r="F30" s="5"/>
      <c r="G30" s="5"/>
      <c r="H30" s="5"/>
      <c r="I30" s="5"/>
      <c r="J30" s="5"/>
      <c r="K30" s="5"/>
      <c r="L30" s="5"/>
      <c r="M30" s="5"/>
      <c r="N30" s="5"/>
      <c r="O30" s="5"/>
      <c r="P30" s="5"/>
      <c r="Q30" s="5"/>
      <c r="R30" s="5">
        <f>SUMIFS(Data_a!$C$14:$C$32,Data_a!$B$14:$B$32,R$3)</f>
        <v>45.941000000000003</v>
      </c>
      <c r="S30" s="5"/>
      <c r="T30" s="5">
        <f>SUMIFS(Data_a!$C$14:$C$32,Data_a!$B$14:$B$32,T$3)</f>
        <v>124.952</v>
      </c>
      <c r="U30" s="5">
        <f>SUMIFS(Data_a!$C$14:$C$32,Data_a!$B$14:$B$32,U$3)</f>
        <v>105.91000000000001</v>
      </c>
      <c r="V30" s="5"/>
    </row>
    <row r="31" spans="2:22">
      <c r="B31" s="5" t="s">
        <v>85</v>
      </c>
      <c r="C31" s="15">
        <f t="shared" si="0"/>
        <v>474.43299999999999</v>
      </c>
      <c r="D31" s="5"/>
      <c r="E31" s="5"/>
      <c r="F31" s="5"/>
      <c r="G31" s="5"/>
      <c r="H31" s="5"/>
      <c r="I31" s="5"/>
      <c r="J31" s="5"/>
      <c r="K31" s="5"/>
      <c r="L31" s="5">
        <f>SUMIFS(Data_a!$C$14:$C$32,Data_a!$B$14:$B$32,L$3)</f>
        <v>57.841000000000001</v>
      </c>
      <c r="M31" s="5">
        <f>SUMIFS(Data_a!$C$14:$C$32,Data_a!$B$14:$B$32,M$3)</f>
        <v>77.475000000000009</v>
      </c>
      <c r="N31" s="5"/>
      <c r="O31" s="5">
        <f>SUMIFS(Data_a!$C$14:$C$32,Data_a!$B$14:$B$32,O$3)</f>
        <v>77.989999999999995</v>
      </c>
      <c r="P31" s="5"/>
      <c r="Q31" s="5"/>
      <c r="R31" s="5">
        <f>SUMIFS(Data_a!$C$14:$C$32,Data_a!$B$14:$B$32,R$3)</f>
        <v>45.941000000000003</v>
      </c>
      <c r="S31" s="5"/>
      <c r="T31" s="5">
        <f>SUMIFS(Data_a!$C$14:$C$32,Data_a!$B$14:$B$32,T$3)</f>
        <v>124.952</v>
      </c>
      <c r="U31" s="5"/>
      <c r="V31" s="5">
        <f>SUMIFS(Data_a!$C$14:$C$32,Data_a!$B$14:$B$32,V$3)</f>
        <v>90.234000000000009</v>
      </c>
    </row>
    <row r="32" spans="2:22">
      <c r="B32" s="5" t="s">
        <v>86</v>
      </c>
      <c r="C32" s="15">
        <f t="shared" si="0"/>
        <v>330.65100000000001</v>
      </c>
      <c r="D32" s="5"/>
      <c r="E32" s="5"/>
      <c r="F32" s="5"/>
      <c r="G32" s="5"/>
      <c r="H32" s="5"/>
      <c r="I32" s="5"/>
      <c r="J32" s="5"/>
      <c r="K32" s="5"/>
      <c r="L32" s="5"/>
      <c r="M32" s="5"/>
      <c r="N32" s="5"/>
      <c r="O32" s="5"/>
      <c r="P32" s="5">
        <f>SUMIFS(Data_a!$C$14:$C$32,Data_a!$B$14:$B$32,P$3)</f>
        <v>35.974000000000004</v>
      </c>
      <c r="Q32" s="5">
        <f>SUMIFS(Data_a!$C$14:$C$32,Data_a!$B$14:$B$32,Q$3)</f>
        <v>33.549999999999997</v>
      </c>
      <c r="R32" s="5">
        <f>SUMIFS(Data_a!$C$14:$C$32,Data_a!$B$14:$B$32,R$3)</f>
        <v>45.941000000000003</v>
      </c>
      <c r="S32" s="5"/>
      <c r="T32" s="5">
        <f>SUMIFS(Data_a!$C$14:$C$32,Data_a!$B$14:$B$32,T$3)</f>
        <v>124.952</v>
      </c>
      <c r="U32" s="5"/>
      <c r="V32" s="5">
        <f>SUMIFS(Data_a!$C$14:$C$32,Data_a!$B$14:$B$32,V$3)</f>
        <v>90.234000000000009</v>
      </c>
    </row>
    <row r="33" spans="2:22">
      <c r="B33" s="5" t="s">
        <v>87</v>
      </c>
      <c r="C33" s="15">
        <f t="shared" si="0"/>
        <v>343.76099999999997</v>
      </c>
      <c r="D33" s="5"/>
      <c r="E33" s="5"/>
      <c r="F33" s="5"/>
      <c r="G33" s="5">
        <f>SUMIFS(Data_a!$C$14:$C$32,Data_a!$B$14:$B$32,G$3)</f>
        <v>5.0599999999999996</v>
      </c>
      <c r="H33" s="5">
        <f>SUMIFS(Data_a!$C$14:$C$32,Data_a!$B$14:$B$32,H$3)</f>
        <v>77.573999999999998</v>
      </c>
      <c r="I33" s="5"/>
      <c r="J33" s="5"/>
      <c r="K33" s="5"/>
      <c r="L33" s="5"/>
      <c r="M33" s="5"/>
      <c r="N33" s="5"/>
      <c r="O33" s="5"/>
      <c r="P33" s="5"/>
      <c r="Q33" s="5"/>
      <c r="R33" s="5">
        <f>SUMIFS(Data_a!$C$14:$C$32,Data_a!$B$14:$B$32,R$3)</f>
        <v>45.941000000000003</v>
      </c>
      <c r="S33" s="5"/>
      <c r="T33" s="5">
        <f>SUMIFS(Data_a!$C$14:$C$32,Data_a!$B$14:$B$32,T$3)</f>
        <v>124.952</v>
      </c>
      <c r="U33" s="5"/>
      <c r="V33" s="5">
        <f>SUMIFS(Data_a!$C$14:$C$32,Data_a!$B$14:$B$32,V$3)</f>
        <v>90.234000000000009</v>
      </c>
    </row>
    <row r="34" spans="2:22">
      <c r="B34" s="5" t="s">
        <v>88</v>
      </c>
      <c r="C34" s="15">
        <f t="shared" si="0"/>
        <v>518.22300000000007</v>
      </c>
      <c r="D34" s="5"/>
      <c r="E34" s="5"/>
      <c r="F34" s="5"/>
      <c r="G34" s="5"/>
      <c r="H34" s="5"/>
      <c r="I34" s="5"/>
      <c r="J34" s="5">
        <f>SUMIFS(Data_a!$C$14:$C$32,Data_a!$B$14:$B$32,J$3)</f>
        <v>20.238000000000003</v>
      </c>
      <c r="K34" s="5">
        <f>SUMIFS(Data_a!$C$14:$C$32,Data_a!$B$14:$B$32,K$3)</f>
        <v>81.393000000000001</v>
      </c>
      <c r="L34" s="5"/>
      <c r="M34" s="5">
        <f>SUMIFS(Data_a!$C$14:$C$32,Data_a!$B$14:$B$32,M$3)</f>
        <v>77.475000000000009</v>
      </c>
      <c r="N34" s="5"/>
      <c r="O34" s="5">
        <f>SUMIFS(Data_a!$C$14:$C$32,Data_a!$B$14:$B$32,O$3)</f>
        <v>77.989999999999995</v>
      </c>
      <c r="P34" s="5"/>
      <c r="Q34" s="5"/>
      <c r="R34" s="5">
        <f>SUMIFS(Data_a!$C$14:$C$32,Data_a!$B$14:$B$32,R$3)</f>
        <v>45.941000000000003</v>
      </c>
      <c r="S34" s="5"/>
      <c r="T34" s="5">
        <f>SUMIFS(Data_a!$C$14:$C$32,Data_a!$B$14:$B$32,T$3)</f>
        <v>124.952</v>
      </c>
      <c r="U34" s="5"/>
      <c r="V34" s="5">
        <f>SUMIFS(Data_a!$C$14:$C$32,Data_a!$B$14:$B$32,V$3)</f>
        <v>90.234000000000009</v>
      </c>
    </row>
    <row r="35" spans="2:22">
      <c r="B35" s="5" t="s">
        <v>89</v>
      </c>
      <c r="C35" s="15">
        <f t="shared" si="0"/>
        <v>51.051000000000002</v>
      </c>
      <c r="D35" s="5"/>
      <c r="E35" s="5"/>
      <c r="F35" s="5"/>
      <c r="G35" s="5"/>
      <c r="H35" s="5"/>
      <c r="I35" s="5"/>
      <c r="J35" s="5"/>
      <c r="K35" s="5"/>
      <c r="L35" s="5"/>
      <c r="M35" s="5"/>
      <c r="N35" s="5"/>
      <c r="O35" s="5"/>
      <c r="P35" s="5"/>
      <c r="Q35" s="5"/>
      <c r="R35" s="5">
        <f>SUMIFS(Data_a!$C$14:$C$32,Data_a!$B$14:$B$32,R$3)</f>
        <v>45.941000000000003</v>
      </c>
      <c r="S35" s="5">
        <f>SUMIFS(Data_a!$C$14:$C$32,Data_a!$B$14:$B$32,S$3)</f>
        <v>5.1099999999999994</v>
      </c>
      <c r="T35" s="5"/>
      <c r="U35" s="5"/>
      <c r="V35" s="5"/>
    </row>
    <row r="36" spans="2:22">
      <c r="B36" s="5" t="s">
        <v>90</v>
      </c>
      <c r="C36" s="15">
        <f t="shared" si="0"/>
        <v>462.79100000000005</v>
      </c>
      <c r="D36" s="5"/>
      <c r="E36" s="5"/>
      <c r="F36" s="5"/>
      <c r="G36" s="5"/>
      <c r="H36" s="5"/>
      <c r="I36" s="5"/>
      <c r="J36" s="5"/>
      <c r="K36" s="5"/>
      <c r="L36" s="5"/>
      <c r="M36" s="5"/>
      <c r="N36" s="5">
        <f>SUMIFS(Data_a!$C$14:$C$32,Data_a!$B$14:$B$32,N$3)</f>
        <v>123.67399999999999</v>
      </c>
      <c r="O36" s="5">
        <f>SUMIFS(Data_a!$C$14:$C$32,Data_a!$B$14:$B$32,O$3)</f>
        <v>77.989999999999995</v>
      </c>
      <c r="P36" s="5"/>
      <c r="Q36" s="5"/>
      <c r="R36" s="5">
        <f>SUMIFS(Data_a!$C$14:$C$32,Data_a!$B$14:$B$32,R$3)</f>
        <v>45.941000000000003</v>
      </c>
      <c r="S36" s="5"/>
      <c r="T36" s="5">
        <f>SUMIFS(Data_a!$C$14:$C$32,Data_a!$B$14:$B$32,T$3)</f>
        <v>124.952</v>
      </c>
      <c r="U36" s="5"/>
      <c r="V36" s="5">
        <f>SUMIFS(Data_a!$C$14:$C$32,Data_a!$B$14:$B$32,V$3)</f>
        <v>90.234000000000009</v>
      </c>
    </row>
    <row r="37" spans="2:22">
      <c r="B37" s="5" t="s">
        <v>91</v>
      </c>
      <c r="C37" s="15">
        <f t="shared" si="0"/>
        <v>254.26299999999998</v>
      </c>
      <c r="D37" s="5">
        <f>SUMIFS(Data_a!$C$14:$C$32,Data_a!$B$14:$B$32,D$3)</f>
        <v>57.743000000000002</v>
      </c>
      <c r="E37" s="5"/>
      <c r="F37" s="5">
        <f>SUMIFS(Data_a!$C$14:$C$32,Data_a!$B$14:$B$32,F$3)</f>
        <v>85.395999999999987</v>
      </c>
      <c r="G37" s="5"/>
      <c r="H37" s="5">
        <f>SUMIFS(Data_a!$C$14:$C$32,Data_a!$B$14:$B$32,H$3)</f>
        <v>77.573999999999998</v>
      </c>
      <c r="I37" s="5"/>
      <c r="J37" s="5"/>
      <c r="K37" s="5"/>
      <c r="L37" s="5"/>
      <c r="M37" s="5"/>
      <c r="N37" s="5"/>
      <c r="O37" s="5"/>
      <c r="P37" s="5"/>
      <c r="Q37" s="5">
        <f>SUMIFS(Data_a!$C$14:$C$32,Data_a!$B$14:$B$32,Q$3)</f>
        <v>33.549999999999997</v>
      </c>
      <c r="R37" s="5"/>
      <c r="S37" s="5"/>
      <c r="T37" s="5"/>
      <c r="U37" s="5"/>
      <c r="V37" s="5"/>
    </row>
    <row r="38" spans="2:22">
      <c r="B38" s="5" t="s">
        <v>92</v>
      </c>
      <c r="C38" s="15">
        <f t="shared" si="0"/>
        <v>321.87600000000003</v>
      </c>
      <c r="D38" s="5"/>
      <c r="E38" s="5"/>
      <c r="F38" s="5"/>
      <c r="G38" s="5"/>
      <c r="H38" s="5"/>
      <c r="I38" s="5">
        <f>SUMIFS(Data_a!$C$14:$C$32,Data_a!$B$14:$B$32,I$3)</f>
        <v>51.468000000000004</v>
      </c>
      <c r="J38" s="5"/>
      <c r="K38" s="5">
        <f>SUMIFS(Data_a!$C$14:$C$32,Data_a!$B$14:$B$32,K$3)</f>
        <v>81.393000000000001</v>
      </c>
      <c r="L38" s="5"/>
      <c r="M38" s="5">
        <f>SUMIFS(Data_a!$C$14:$C$32,Data_a!$B$14:$B$32,M$3)</f>
        <v>77.475000000000009</v>
      </c>
      <c r="N38" s="5"/>
      <c r="O38" s="5">
        <f>SUMIFS(Data_a!$C$14:$C$32,Data_a!$B$14:$B$32,O$3)</f>
        <v>77.989999999999995</v>
      </c>
      <c r="P38" s="5"/>
      <c r="Q38" s="5">
        <f>SUMIFS(Data_a!$C$14:$C$32,Data_a!$B$14:$B$32,Q$3)</f>
        <v>33.549999999999997</v>
      </c>
      <c r="R38" s="5"/>
      <c r="S38" s="5"/>
      <c r="T38" s="5"/>
      <c r="U38" s="5"/>
      <c r="V38" s="5"/>
    </row>
    <row r="39" spans="2:22">
      <c r="B39" s="5" t="s">
        <v>93</v>
      </c>
      <c r="C39" s="15">
        <f t="shared" si="0"/>
        <v>294.67700000000002</v>
      </c>
      <c r="D39" s="5"/>
      <c r="E39" s="5"/>
      <c r="F39" s="5"/>
      <c r="G39" s="5"/>
      <c r="H39" s="5"/>
      <c r="I39" s="5"/>
      <c r="J39" s="5"/>
      <c r="K39" s="5"/>
      <c r="L39" s="5"/>
      <c r="M39" s="5"/>
      <c r="N39" s="5"/>
      <c r="O39" s="5"/>
      <c r="P39" s="5"/>
      <c r="Q39" s="5">
        <f>SUMIFS(Data_a!$C$14:$C$32,Data_a!$B$14:$B$32,Q$3)</f>
        <v>33.549999999999997</v>
      </c>
      <c r="R39" s="5">
        <f>SUMIFS(Data_a!$C$14:$C$32,Data_a!$B$14:$B$32,R$3)</f>
        <v>45.941000000000003</v>
      </c>
      <c r="S39" s="5"/>
      <c r="T39" s="5">
        <f>SUMIFS(Data_a!$C$14:$C$32,Data_a!$B$14:$B$32,T$3)</f>
        <v>124.952</v>
      </c>
      <c r="U39" s="5"/>
      <c r="V39" s="5">
        <f>SUMIFS(Data_a!$C$14:$C$32,Data_a!$B$14:$B$32,V$3)</f>
        <v>90.234000000000009</v>
      </c>
    </row>
    <row r="40" spans="2:22">
      <c r="B40" s="5" t="s">
        <v>94</v>
      </c>
      <c r="C40" s="15">
        <f t="shared" si="0"/>
        <v>0</v>
      </c>
      <c r="D40" s="5"/>
      <c r="E40" s="5"/>
      <c r="F40" s="5"/>
      <c r="G40" s="5"/>
      <c r="H40" s="5"/>
      <c r="I40" s="5"/>
      <c r="J40" s="5"/>
      <c r="K40" s="5"/>
      <c r="L40" s="5"/>
      <c r="M40" s="5"/>
      <c r="N40" s="5"/>
      <c r="O40" s="5"/>
      <c r="P40" s="5"/>
      <c r="Q40" s="5"/>
      <c r="R40" s="5"/>
      <c r="S40" s="5"/>
      <c r="T40" s="5"/>
      <c r="U40" s="5"/>
      <c r="V40" s="5"/>
    </row>
    <row r="41" spans="2:22">
      <c r="B41" s="5" t="s">
        <v>95</v>
      </c>
      <c r="C41" s="15">
        <f t="shared" si="0"/>
        <v>229.69400000000002</v>
      </c>
      <c r="D41" s="5"/>
      <c r="E41" s="5"/>
      <c r="F41" s="5"/>
      <c r="G41" s="5"/>
      <c r="H41" s="5"/>
      <c r="I41" s="5"/>
      <c r="J41" s="5"/>
      <c r="K41" s="5"/>
      <c r="L41" s="5"/>
      <c r="M41" s="5"/>
      <c r="N41" s="5"/>
      <c r="O41" s="5"/>
      <c r="P41" s="5"/>
      <c r="Q41" s="5">
        <f>SUMIFS(Data_a!$C$14:$C$32,Data_a!$B$14:$B$32,Q$3)</f>
        <v>33.549999999999997</v>
      </c>
      <c r="R41" s="5"/>
      <c r="S41" s="5"/>
      <c r="T41" s="5"/>
      <c r="U41" s="5">
        <f>SUMIFS(Data_a!$C$14:$C$32,Data_a!$B$14:$B$32,U$3)</f>
        <v>105.91000000000001</v>
      </c>
      <c r="V41" s="5">
        <f>SUMIFS(Data_a!$C$14:$C$32,Data_a!$B$14:$B$32,V$3)</f>
        <v>90.234000000000009</v>
      </c>
    </row>
    <row r="42" spans="2:22">
      <c r="B42" s="5" t="s">
        <v>96</v>
      </c>
      <c r="C42" s="15">
        <f t="shared" si="0"/>
        <v>246.85599999999999</v>
      </c>
      <c r="D42" s="5"/>
      <c r="E42" s="5"/>
      <c r="F42" s="5"/>
      <c r="G42" s="5"/>
      <c r="H42" s="5"/>
      <c r="I42" s="5"/>
      <c r="J42" s="5"/>
      <c r="K42" s="5"/>
      <c r="L42" s="5">
        <f>SUMIFS(Data_a!$C$14:$C$32,Data_a!$B$14:$B$32,L$3)</f>
        <v>57.841000000000001</v>
      </c>
      <c r="M42" s="5">
        <f>SUMIFS(Data_a!$C$14:$C$32,Data_a!$B$14:$B$32,M$3)</f>
        <v>77.475000000000009</v>
      </c>
      <c r="N42" s="5"/>
      <c r="O42" s="5">
        <f>SUMIFS(Data_a!$C$14:$C$32,Data_a!$B$14:$B$32,O$3)</f>
        <v>77.989999999999995</v>
      </c>
      <c r="P42" s="5"/>
      <c r="Q42" s="5">
        <f>SUMIFS(Data_a!$C$14:$C$32,Data_a!$B$14:$B$32,Q$3)</f>
        <v>33.549999999999997</v>
      </c>
      <c r="R42" s="5"/>
      <c r="S42" s="5"/>
      <c r="T42" s="5"/>
      <c r="U42" s="5"/>
      <c r="V42" s="5"/>
    </row>
    <row r="43" spans="2:22">
      <c r="B43" s="5" t="s">
        <v>51</v>
      </c>
      <c r="C43" s="15">
        <f t="shared" si="0"/>
        <v>35.974000000000004</v>
      </c>
      <c r="D43" s="5"/>
      <c r="E43" s="5"/>
      <c r="F43" s="5"/>
      <c r="G43" s="5"/>
      <c r="H43" s="5"/>
      <c r="I43" s="5"/>
      <c r="J43" s="5"/>
      <c r="K43" s="5"/>
      <c r="L43" s="5"/>
      <c r="M43" s="5"/>
      <c r="N43" s="5"/>
      <c r="O43" s="5"/>
      <c r="P43" s="5">
        <f>SUMIFS(Data_a!$C$14:$C$32,Data_a!$B$14:$B$32,P$3)</f>
        <v>35.974000000000004</v>
      </c>
      <c r="Q43" s="5"/>
      <c r="R43" s="5"/>
      <c r="S43" s="5"/>
      <c r="T43" s="5"/>
      <c r="U43" s="5"/>
      <c r="V43" s="5"/>
    </row>
    <row r="44" spans="2:22">
      <c r="B44" s="5" t="s">
        <v>97</v>
      </c>
      <c r="C44" s="15">
        <f t="shared" si="0"/>
        <v>116.184</v>
      </c>
      <c r="D44" s="5"/>
      <c r="E44" s="5"/>
      <c r="F44" s="5"/>
      <c r="G44" s="5">
        <f>SUMIFS(Data_a!$C$14:$C$32,Data_a!$B$14:$B$32,G$3)</f>
        <v>5.0599999999999996</v>
      </c>
      <c r="H44" s="5">
        <f>SUMIFS(Data_a!$C$14:$C$32,Data_a!$B$14:$B$32,H$3)</f>
        <v>77.573999999999998</v>
      </c>
      <c r="I44" s="5"/>
      <c r="J44" s="5"/>
      <c r="K44" s="5"/>
      <c r="L44" s="5"/>
      <c r="M44" s="5"/>
      <c r="N44" s="5"/>
      <c r="O44" s="5"/>
      <c r="P44" s="5"/>
      <c r="Q44" s="5">
        <f>SUMIFS(Data_a!$C$14:$C$32,Data_a!$B$14:$B$32,Q$3)</f>
        <v>33.549999999999997</v>
      </c>
      <c r="R44" s="5"/>
      <c r="S44" s="5"/>
      <c r="T44" s="5"/>
      <c r="U44" s="5"/>
      <c r="V44" s="5"/>
    </row>
    <row r="45" spans="2:22">
      <c r="B45" s="5" t="s">
        <v>98</v>
      </c>
      <c r="C45" s="15">
        <f t="shared" si="0"/>
        <v>290.64600000000002</v>
      </c>
      <c r="D45" s="5"/>
      <c r="E45" s="5"/>
      <c r="F45" s="5"/>
      <c r="G45" s="5"/>
      <c r="H45" s="5"/>
      <c r="I45" s="5"/>
      <c r="J45" s="5">
        <f>SUMIFS(Data_a!$C$14:$C$32,Data_a!$B$14:$B$32,J$3)</f>
        <v>20.238000000000003</v>
      </c>
      <c r="K45" s="5">
        <f>SUMIFS(Data_a!$C$14:$C$32,Data_a!$B$14:$B$32,K$3)</f>
        <v>81.393000000000001</v>
      </c>
      <c r="L45" s="5"/>
      <c r="M45" s="5">
        <f>SUMIFS(Data_a!$C$14:$C$32,Data_a!$B$14:$B$32,M$3)</f>
        <v>77.475000000000009</v>
      </c>
      <c r="N45" s="5"/>
      <c r="O45" s="5">
        <f>SUMIFS(Data_a!$C$14:$C$32,Data_a!$B$14:$B$32,O$3)</f>
        <v>77.989999999999995</v>
      </c>
      <c r="P45" s="5"/>
      <c r="Q45" s="5">
        <f>SUMIFS(Data_a!$C$14:$C$32,Data_a!$B$14:$B$32,Q$3)</f>
        <v>33.549999999999997</v>
      </c>
      <c r="R45" s="5"/>
      <c r="S45" s="5"/>
      <c r="T45" s="5"/>
      <c r="U45" s="5"/>
      <c r="V45" s="5"/>
    </row>
    <row r="46" spans="2:22">
      <c r="B46" s="5" t="s">
        <v>99</v>
      </c>
      <c r="C46" s="15">
        <f t="shared" si="0"/>
        <v>253.846</v>
      </c>
      <c r="D46" s="5"/>
      <c r="E46" s="5"/>
      <c r="F46" s="5"/>
      <c r="G46" s="5"/>
      <c r="H46" s="5"/>
      <c r="I46" s="5"/>
      <c r="J46" s="5"/>
      <c r="K46" s="5"/>
      <c r="L46" s="5"/>
      <c r="M46" s="5"/>
      <c r="N46" s="5"/>
      <c r="O46" s="5"/>
      <c r="P46" s="5"/>
      <c r="Q46" s="5">
        <f>SUMIFS(Data_a!$C$14:$C$32,Data_a!$B$14:$B$32,Q$3)</f>
        <v>33.549999999999997</v>
      </c>
      <c r="R46" s="5"/>
      <c r="S46" s="5">
        <f>SUMIFS(Data_a!$C$14:$C$32,Data_a!$B$14:$B$32,S$3)</f>
        <v>5.1099999999999994</v>
      </c>
      <c r="T46" s="5">
        <f>SUMIFS(Data_a!$C$14:$C$32,Data_a!$B$14:$B$32,T$3)</f>
        <v>124.952</v>
      </c>
      <c r="U46" s="5"/>
      <c r="V46" s="5">
        <f>SUMIFS(Data_a!$C$14:$C$32,Data_a!$B$14:$B$32,V$3)</f>
        <v>90.234000000000009</v>
      </c>
    </row>
    <row r="47" spans="2:22">
      <c r="B47" s="5" t="s">
        <v>100</v>
      </c>
      <c r="C47" s="15">
        <f t="shared" si="0"/>
        <v>235.214</v>
      </c>
      <c r="D47" s="5"/>
      <c r="E47" s="5"/>
      <c r="F47" s="5"/>
      <c r="G47" s="5"/>
      <c r="H47" s="5"/>
      <c r="I47" s="5"/>
      <c r="J47" s="5"/>
      <c r="K47" s="5"/>
      <c r="L47" s="5"/>
      <c r="M47" s="5"/>
      <c r="N47" s="5">
        <f>SUMIFS(Data_a!$C$14:$C$32,Data_a!$B$14:$B$32,N$3)</f>
        <v>123.67399999999999</v>
      </c>
      <c r="O47" s="5">
        <f>SUMIFS(Data_a!$C$14:$C$32,Data_a!$B$14:$B$32,O$3)</f>
        <v>77.989999999999995</v>
      </c>
      <c r="P47" s="5"/>
      <c r="Q47" s="5">
        <f>SUMIFS(Data_a!$C$14:$C$32,Data_a!$B$14:$B$32,Q$3)</f>
        <v>33.549999999999997</v>
      </c>
      <c r="R47" s="5"/>
      <c r="S47" s="5"/>
      <c r="T47" s="5"/>
      <c r="U47" s="5"/>
      <c r="V47" s="5"/>
    </row>
  </sheetData>
  <conditionalFormatting sqref="D4:V37 D39:V47">
    <cfRule type="containsBlanks" dxfId="3" priority="3">
      <formula>LEN(TRIM(D4))=0</formula>
    </cfRule>
  </conditionalFormatting>
  <conditionalFormatting sqref="D38:V38">
    <cfRule type="containsBlanks" dxfId="2" priority="1">
      <formula>LEN(TRIM(D38))=0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D6" sqref="D6"/>
    </sheetView>
  </sheetViews>
  <sheetFormatPr defaultRowHeight="14.4"/>
  <cols>
    <col min="1" max="1" width="39.5546875" customWidth="1"/>
    <col min="2" max="2" width="14.21875" bestFit="1" customWidth="1"/>
    <col min="3" max="12" width="11.33203125" customWidth="1"/>
  </cols>
  <sheetData>
    <row r="1" spans="1:12">
      <c r="A1" s="1" t="s">
        <v>244</v>
      </c>
      <c r="B1" s="1"/>
    </row>
    <row r="2" spans="1:12" ht="15" thickBot="1"/>
    <row r="3" spans="1:12" ht="15" thickBot="1">
      <c r="A3" s="90" t="s">
        <v>144</v>
      </c>
      <c r="B3" s="144"/>
      <c r="C3" s="144"/>
      <c r="D3" s="144"/>
      <c r="E3" s="144"/>
      <c r="F3" s="144"/>
      <c r="G3" s="144"/>
      <c r="H3" s="144"/>
      <c r="I3" s="144"/>
      <c r="J3" s="144"/>
      <c r="K3" s="144"/>
      <c r="L3" s="145"/>
    </row>
    <row r="4" spans="1:12" ht="15" thickBot="1">
      <c r="A4" s="213"/>
      <c r="B4" s="270"/>
      <c r="C4" s="241"/>
      <c r="D4" s="241">
        <v>2008</v>
      </c>
      <c r="E4" s="241">
        <v>2009</v>
      </c>
      <c r="F4" s="241">
        <v>2010</v>
      </c>
      <c r="G4" s="241">
        <v>2011</v>
      </c>
      <c r="H4" s="241">
        <v>2012</v>
      </c>
      <c r="I4" s="241">
        <v>2013</v>
      </c>
      <c r="J4" s="241">
        <v>2014</v>
      </c>
      <c r="K4" s="241">
        <v>2015</v>
      </c>
      <c r="L4" s="242">
        <v>2016</v>
      </c>
    </row>
    <row r="5" spans="1:12">
      <c r="A5" s="262" t="s">
        <v>206</v>
      </c>
      <c r="B5" s="263" t="s">
        <v>142</v>
      </c>
      <c r="C5" s="264"/>
      <c r="D5" s="265">
        <f>+Data_c!D13</f>
        <v>97464583.611313626</v>
      </c>
      <c r="E5" s="265">
        <f>+Data_c!E13</f>
        <v>95995594.236470416</v>
      </c>
      <c r="F5" s="265">
        <f>+Data_c!F13</f>
        <v>95328815.790845484</v>
      </c>
      <c r="G5" s="265">
        <f>+Data_c!G13</f>
        <v>90962484.727682427</v>
      </c>
      <c r="H5" s="265">
        <f>+Data_c!H13</f>
        <v>86079228.203435302</v>
      </c>
      <c r="I5" s="265">
        <f>+Data_c!I13</f>
        <v>85023595.566888973</v>
      </c>
      <c r="J5" s="265">
        <f>+Data_c!J13</f>
        <v>80616976.841129869</v>
      </c>
      <c r="K5" s="265">
        <f>+Data_c!K13</f>
        <v>76341590.558333367</v>
      </c>
      <c r="L5" s="266">
        <f>+Data_c!L13</f>
        <v>72298340.44579111</v>
      </c>
    </row>
    <row r="6" spans="1:12">
      <c r="A6" s="130" t="s">
        <v>141</v>
      </c>
      <c r="B6" s="60" t="s">
        <v>138</v>
      </c>
      <c r="C6" s="63"/>
      <c r="D6" s="65">
        <f>+Data_c!D14</f>
        <v>196</v>
      </c>
      <c r="E6" s="65">
        <f>+Data_c!E14</f>
        <v>234</v>
      </c>
      <c r="F6" s="65">
        <f>+Data_c!F14</f>
        <v>233</v>
      </c>
      <c r="G6" s="65">
        <f>+Data_c!G14</f>
        <v>237</v>
      </c>
      <c r="H6" s="65">
        <f>+Data_c!H14</f>
        <v>218</v>
      </c>
      <c r="I6" s="65">
        <f>+Data_c!I14</f>
        <v>207</v>
      </c>
      <c r="J6" s="65">
        <f>+Data_c!J14</f>
        <v>198</v>
      </c>
      <c r="K6" s="65">
        <f>+Data_c!K14</f>
        <v>232</v>
      </c>
      <c r="L6" s="267">
        <f>+Data_c!L14</f>
        <v>239</v>
      </c>
    </row>
    <row r="7" spans="1:12">
      <c r="A7" s="130" t="s">
        <v>147</v>
      </c>
      <c r="B7" s="60" t="s">
        <v>21</v>
      </c>
      <c r="C7" s="63"/>
      <c r="D7" s="64">
        <f>SUM(Data_c!$D15:D15)+Data_c!$B$17</f>
        <v>1248</v>
      </c>
      <c r="E7" s="64">
        <f>SUM(Data_c!$D15:E15)+Data_c!$B$17</f>
        <v>1267</v>
      </c>
      <c r="F7" s="64">
        <f>SUM(Data_c!$D15:F15)+Data_c!$B$17</f>
        <v>1296</v>
      </c>
      <c r="G7" s="64">
        <f>SUM(Data_c!$D15:G15)+Data_c!$B$17</f>
        <v>1298</v>
      </c>
      <c r="H7" s="64">
        <f>SUM(Data_c!$D15:H15)+Data_c!$B$17</f>
        <v>1298</v>
      </c>
      <c r="I7" s="64">
        <f>SUM(Data_c!$D15:I15)+Data_c!$B$17</f>
        <v>1375</v>
      </c>
      <c r="J7" s="64">
        <f>SUM(Data_c!$D15:J15)+Data_c!$B$17</f>
        <v>1375</v>
      </c>
      <c r="K7" s="64">
        <f>SUM(Data_c!$D15:K15)+Data_c!$B$17</f>
        <v>1375</v>
      </c>
      <c r="L7" s="93">
        <f>SUM(Data_c!$D15:L15)+Data_c!$B$17</f>
        <v>1375</v>
      </c>
    </row>
    <row r="8" spans="1:12">
      <c r="A8" s="130"/>
      <c r="B8" s="29"/>
      <c r="C8" s="29"/>
      <c r="D8" s="29"/>
      <c r="E8" s="29"/>
      <c r="F8" s="29"/>
      <c r="G8" s="29"/>
      <c r="H8" s="29"/>
      <c r="I8" s="29"/>
      <c r="J8" s="29"/>
      <c r="K8" s="29"/>
      <c r="L8" s="131"/>
    </row>
    <row r="9" spans="1:12" ht="15" thickBot="1">
      <c r="A9" s="149" t="s">
        <v>144</v>
      </c>
      <c r="B9" s="59" t="s">
        <v>143</v>
      </c>
      <c r="C9" s="150"/>
      <c r="D9" s="268">
        <f>IFERROR(D5/D6/D7/1000000,0)</f>
        <v>3.9845215042563455E-4</v>
      </c>
      <c r="E9" s="268">
        <f t="shared" ref="E9:L9" si="0">IFERROR(E5/E6/E7/1000000,0)</f>
        <v>3.2378656843499488E-4</v>
      </c>
      <c r="F9" s="268">
        <f t="shared" si="0"/>
        <v>3.1569178121802804E-4</v>
      </c>
      <c r="G9" s="268">
        <f t="shared" si="0"/>
        <v>2.9569179694720999E-4</v>
      </c>
      <c r="H9" s="268">
        <f t="shared" si="0"/>
        <v>3.0420558164089885E-4</v>
      </c>
      <c r="I9" s="268">
        <f t="shared" si="0"/>
        <v>2.9872146005055413E-4</v>
      </c>
      <c r="J9" s="268">
        <f t="shared" si="0"/>
        <v>2.9611378086732737E-4</v>
      </c>
      <c r="K9" s="268">
        <f t="shared" si="0"/>
        <v>2.3931533090386636E-4</v>
      </c>
      <c r="L9" s="269">
        <f t="shared" si="0"/>
        <v>2.2000255746151728E-4</v>
      </c>
    </row>
    <row r="10" spans="1:12" ht="15" thickBot="1"/>
    <row r="11" spans="1:12" ht="15" thickBot="1">
      <c r="A11" s="90" t="s">
        <v>144</v>
      </c>
      <c r="B11" s="271"/>
    </row>
    <row r="12" spans="1:12">
      <c r="A12" s="201" t="s">
        <v>207</v>
      </c>
      <c r="B12" s="202">
        <f>Data_c!L13</f>
        <v>72298340.44579111</v>
      </c>
      <c r="D12" s="51"/>
    </row>
    <row r="13" spans="1:12">
      <c r="A13" s="203" t="s">
        <v>204</v>
      </c>
      <c r="B13" s="204">
        <f>AVERAGE(D6:L6)</f>
        <v>221.55555555555554</v>
      </c>
    </row>
    <row r="14" spans="1:12" ht="15" thickBot="1">
      <c r="A14" s="205" t="s">
        <v>205</v>
      </c>
      <c r="B14" s="207">
        <f>L7</f>
        <v>1375</v>
      </c>
    </row>
    <row r="15" spans="1:12" ht="15" thickBot="1">
      <c r="A15" s="208" t="s">
        <v>243</v>
      </c>
      <c r="B15" s="206">
        <f>IFERROR(B12/B13/B14/1000000,0)</f>
        <v>2.3732472472403392E-4</v>
      </c>
      <c r="D15" s="200"/>
    </row>
    <row r="17" spans="1:2" ht="15" thickBot="1"/>
    <row r="18" spans="1:2" ht="15" thickBot="1">
      <c r="A18" s="90" t="s">
        <v>245</v>
      </c>
      <c r="B18" s="271"/>
    </row>
    <row r="19" spans="1:2">
      <c r="A19" s="201" t="s">
        <v>246</v>
      </c>
      <c r="B19" s="202">
        <f>Data_b!C112*B12</f>
        <v>1012176.7662410756</v>
      </c>
    </row>
    <row r="20" spans="1:2" ht="15" thickBot="1">
      <c r="A20" s="205" t="s">
        <v>247</v>
      </c>
      <c r="B20" s="207">
        <f>Data_c!B19</f>
        <v>58516</v>
      </c>
    </row>
    <row r="21" spans="1:2" ht="15" thickBot="1">
      <c r="A21" s="208" t="s">
        <v>397</v>
      </c>
      <c r="B21" s="272">
        <f>B19/B20/1000000</f>
        <v>1.7297436021619313E-5</v>
      </c>
    </row>
  </sheetData>
  <pageMargins left="0.7" right="0.7" top="0.75" bottom="0.75" header="0.3" footer="0.3"/>
  <ignoredErrors>
    <ignoredError sqref="E7:L7"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9"/>
  <sheetViews>
    <sheetView zoomScale="80" zoomScaleNormal="80" workbookViewId="0"/>
  </sheetViews>
  <sheetFormatPr defaultRowHeight="14.4"/>
  <cols>
    <col min="1" max="1" width="41.44140625" customWidth="1"/>
    <col min="2" max="2" width="17.77734375" bestFit="1" customWidth="1"/>
    <col min="3" max="3" width="13.5546875" bestFit="1" customWidth="1"/>
    <col min="5" max="5" width="16.6640625" customWidth="1"/>
  </cols>
  <sheetData>
    <row r="1" spans="1:12">
      <c r="A1" s="495" t="s">
        <v>557</v>
      </c>
      <c r="B1" s="496"/>
      <c r="C1" s="496"/>
      <c r="D1" s="496"/>
      <c r="E1" s="496"/>
      <c r="F1" s="496"/>
      <c r="G1" s="496"/>
      <c r="H1" s="496"/>
      <c r="I1" s="496"/>
      <c r="J1" s="496"/>
      <c r="K1" s="496"/>
      <c r="L1" s="152"/>
    </row>
    <row r="2" spans="1:12" ht="39.6" customHeight="1" thickBot="1">
      <c r="A2" s="637" t="s">
        <v>381</v>
      </c>
      <c r="B2" s="638"/>
      <c r="C2" s="638"/>
      <c r="D2" s="638"/>
      <c r="E2" s="638"/>
      <c r="F2" s="638"/>
      <c r="G2" s="638"/>
      <c r="H2" s="638"/>
      <c r="I2" s="638"/>
      <c r="J2" s="638"/>
      <c r="K2" s="638"/>
      <c r="L2" s="639"/>
    </row>
    <row r="3" spans="1:12">
      <c r="A3" s="2"/>
    </row>
    <row r="4" spans="1:12" ht="15" thickBot="1">
      <c r="A4" s="2"/>
    </row>
    <row r="5" spans="1:12" ht="15" thickBot="1">
      <c r="A5" s="113" t="s">
        <v>383</v>
      </c>
      <c r="B5" s="114"/>
      <c r="C5" s="115"/>
    </row>
    <row r="6" spans="1:12" ht="15" thickBot="1">
      <c r="A6" s="509" t="s">
        <v>385</v>
      </c>
      <c r="B6" s="497" t="s">
        <v>384</v>
      </c>
      <c r="C6" s="510">
        <v>90</v>
      </c>
    </row>
    <row r="7" spans="1:12">
      <c r="A7" s="2"/>
    </row>
    <row r="8" spans="1:12" ht="15" thickBot="1">
      <c r="A8" s="2"/>
    </row>
    <row r="9" spans="1:12" ht="15" thickBot="1">
      <c r="A9" s="94" t="s">
        <v>379</v>
      </c>
      <c r="B9" s="214"/>
      <c r="C9" s="95"/>
    </row>
    <row r="10" spans="1:12">
      <c r="A10" s="490" t="s">
        <v>240</v>
      </c>
      <c r="B10" s="491" t="s">
        <v>266</v>
      </c>
      <c r="C10" s="492">
        <v>0.4</v>
      </c>
    </row>
    <row r="11" spans="1:12">
      <c r="A11" s="359" t="s">
        <v>241</v>
      </c>
      <c r="B11" s="5" t="s">
        <v>266</v>
      </c>
      <c r="C11" s="493">
        <v>0.4</v>
      </c>
    </row>
    <row r="12" spans="1:12" ht="15" thickBot="1">
      <c r="A12" s="360" t="s">
        <v>241</v>
      </c>
      <c r="B12" s="295" t="s">
        <v>267</v>
      </c>
      <c r="C12" s="494">
        <v>0.2</v>
      </c>
    </row>
    <row r="13" spans="1:12" ht="15" thickBot="1"/>
    <row r="14" spans="1:12" ht="15" thickBot="1">
      <c r="A14" s="94" t="s">
        <v>382</v>
      </c>
      <c r="B14" s="214"/>
      <c r="C14" s="95"/>
    </row>
    <row r="15" spans="1:12" ht="15" thickBot="1">
      <c r="A15" s="498" t="s">
        <v>380</v>
      </c>
      <c r="B15" s="259"/>
      <c r="C15" s="489">
        <f>C12/(C12+C11)</f>
        <v>0.33333333333333331</v>
      </c>
    </row>
    <row r="17" spans="1:3" ht="15" thickBot="1"/>
    <row r="18" spans="1:3" ht="15" thickBot="1">
      <c r="A18" s="184" t="s">
        <v>388</v>
      </c>
      <c r="B18" s="505"/>
      <c r="C18" s="506"/>
    </row>
    <row r="19" spans="1:3">
      <c r="A19" s="361" t="s">
        <v>357</v>
      </c>
      <c r="B19" s="362"/>
      <c r="C19" s="500"/>
    </row>
    <row r="20" spans="1:3">
      <c r="A20" s="359" t="s">
        <v>377</v>
      </c>
      <c r="B20" s="364" t="s">
        <v>261</v>
      </c>
      <c r="C20" s="507">
        <f>Reconcile_RPM!C11</f>
        <v>0.15152729119099162</v>
      </c>
    </row>
    <row r="21" spans="1:3">
      <c r="A21" s="359" t="s">
        <v>378</v>
      </c>
      <c r="B21" s="364" t="s">
        <v>261</v>
      </c>
      <c r="C21" s="507">
        <f>Reconcile_RPM!C11</f>
        <v>0.15152729119099162</v>
      </c>
    </row>
    <row r="22" spans="1:3" ht="16.2">
      <c r="A22" s="359" t="s">
        <v>355</v>
      </c>
      <c r="B22" s="466" t="s">
        <v>184</v>
      </c>
      <c r="C22" s="508">
        <f>Reconcile_RPM!G53</f>
        <v>4.3252057330422499E-4</v>
      </c>
    </row>
    <row r="23" spans="1:3" ht="16.8" thickBot="1">
      <c r="A23" s="360" t="s">
        <v>356</v>
      </c>
      <c r="B23" s="365" t="s">
        <v>184</v>
      </c>
      <c r="C23" s="504">
        <f>Reconcile_RPM!H53</f>
        <v>1.7297436021619313E-5</v>
      </c>
    </row>
    <row r="24" spans="1:3" ht="6.6" customHeight="1" thickBot="1">
      <c r="C24" s="471"/>
    </row>
    <row r="25" spans="1:3">
      <c r="A25" s="361" t="s">
        <v>358</v>
      </c>
      <c r="B25" s="362"/>
      <c r="C25" s="503"/>
    </row>
    <row r="26" spans="1:3">
      <c r="A26" s="359" t="s">
        <v>377</v>
      </c>
      <c r="B26" s="364" t="s">
        <v>261</v>
      </c>
      <c r="C26" s="501">
        <f>C20*$C$15</f>
        <v>5.0509097063663869E-2</v>
      </c>
    </row>
    <row r="27" spans="1:3">
      <c r="A27" s="359" t="s">
        <v>378</v>
      </c>
      <c r="B27" s="364" t="s">
        <v>261</v>
      </c>
      <c r="C27" s="501">
        <f>C21*$C$15</f>
        <v>5.0509097063663869E-2</v>
      </c>
    </row>
    <row r="28" spans="1:3" ht="16.2">
      <c r="A28" s="359" t="s">
        <v>355</v>
      </c>
      <c r="B28" s="466" t="s">
        <v>184</v>
      </c>
      <c r="C28" s="501">
        <f>(C20-C26)/$C$6+C22</f>
        <v>1.5549449524967555E-3</v>
      </c>
    </row>
    <row r="29" spans="1:3" ht="16.8" thickBot="1">
      <c r="A29" s="360" t="s">
        <v>356</v>
      </c>
      <c r="B29" s="365" t="s">
        <v>184</v>
      </c>
      <c r="C29" s="502">
        <f>(C21-C27)/$C$6+C23</f>
        <v>1.1397218152141499E-3</v>
      </c>
    </row>
    <row r="33" spans="5:7">
      <c r="E33" s="2" t="s">
        <v>389</v>
      </c>
    </row>
    <row r="34" spans="5:7">
      <c r="E34" t="s">
        <v>390</v>
      </c>
      <c r="F34" s="19">
        <v>300</v>
      </c>
    </row>
    <row r="36" spans="5:7">
      <c r="E36" t="s">
        <v>391</v>
      </c>
      <c r="F36" t="s">
        <v>392</v>
      </c>
      <c r="G36" t="s">
        <v>393</v>
      </c>
    </row>
    <row r="37" spans="5:7">
      <c r="E37" s="62">
        <v>100000</v>
      </c>
      <c r="F37">
        <f>IF(E37&lt;10000000,$C$20*E37/$F$34+$C$22*E37,$C$21*E37/$F$34+$C$23*E37)*Data_b!$C$104/(E37*Data_b!$C$104)*1000</f>
        <v>0.93761154394086366</v>
      </c>
      <c r="G37">
        <f>IF(E37&lt;10000000,$C$26*E37/$F$34+$C$28*E37,$C$27*E37/$F$34+$C$29*E37)*Data_b!$C$104/(E37*Data_b!$C$104)*1000</f>
        <v>1.7233086093756351</v>
      </c>
    </row>
    <row r="38" spans="5:7">
      <c r="E38" s="51">
        <f>+E37+$E$37</f>
        <v>200000</v>
      </c>
      <c r="F38">
        <f>IF(E38&lt;10000000,$C$20*E38/$F$34+$C$22*E38,$C$21*E38/$F$34+$C$23*E38)*Data_b!$C$104/(E38*Data_b!$C$104)*1000</f>
        <v>0.93761154394086366</v>
      </c>
      <c r="G38">
        <f>IF(E38&lt;10000000,$C$26*E38/$F$34+$C$28*E38,$C$27*E38/$F$34+$C$29*E38)*Data_b!$C$104/(E38*Data_b!$C$104)*1000</f>
        <v>1.7233086093756351</v>
      </c>
    </row>
    <row r="39" spans="5:7">
      <c r="E39" s="51">
        <f t="shared" ref="E39:E102" si="0">+E38+$E$37</f>
        <v>300000</v>
      </c>
      <c r="F39">
        <f>IF(E39&lt;10000000,$C$20*E39/$F$34+$C$22*E39,$C$21*E39/$F$34+$C$23*E39)*Data_b!$C$104/(E39*Data_b!$C$104)*1000</f>
        <v>0.93761154394086377</v>
      </c>
      <c r="G39">
        <f>IF(E39&lt;10000000,$C$26*E39/$F$34+$C$28*E39,$C$27*E39/$F$34+$C$29*E39)*Data_b!$C$104/(E39*Data_b!$C$104)*1000</f>
        <v>1.7233086093756347</v>
      </c>
    </row>
    <row r="40" spans="5:7">
      <c r="E40" s="51">
        <f t="shared" si="0"/>
        <v>400000</v>
      </c>
      <c r="F40">
        <f>IF(E40&lt;10000000,$C$20*E40/$F$34+$C$22*E40,$C$21*E40/$F$34+$C$23*E40)*Data_b!$C$104/(E40*Data_b!$C$104)*1000</f>
        <v>0.93761154394086366</v>
      </c>
      <c r="G40">
        <f>IF(E40&lt;10000000,$C$26*E40/$F$34+$C$28*E40,$C$27*E40/$F$34+$C$29*E40)*Data_b!$C$104/(E40*Data_b!$C$104)*1000</f>
        <v>1.7233086093756351</v>
      </c>
    </row>
    <row r="41" spans="5:7">
      <c r="E41" s="51">
        <f t="shared" si="0"/>
        <v>500000</v>
      </c>
      <c r="F41">
        <f>IF(E41&lt;10000000,$C$20*E41/$F$34+$C$22*E41,$C$21*E41/$F$34+$C$23*E41)*Data_b!$C$104/(E41*Data_b!$C$104)*1000</f>
        <v>0.93761154394086355</v>
      </c>
      <c r="G41">
        <f>IF(E41&lt;10000000,$C$26*E41/$F$34+$C$28*E41,$C$27*E41/$F$34+$C$29*E41)*Data_b!$C$104/(E41*Data_b!$C$104)*1000</f>
        <v>1.7233086093756349</v>
      </c>
    </row>
    <row r="42" spans="5:7">
      <c r="E42" s="51">
        <f t="shared" si="0"/>
        <v>600000</v>
      </c>
      <c r="F42">
        <f>IF(E42&lt;10000000,$C$20*E42/$F$34+$C$22*E42,$C$21*E42/$F$34+$C$23*E42)*Data_b!$C$104/(E42*Data_b!$C$104)*1000</f>
        <v>0.93761154394086377</v>
      </c>
      <c r="G42">
        <f>IF(E42&lt;10000000,$C$26*E42/$F$34+$C$28*E42,$C$27*E42/$F$34+$C$29*E42)*Data_b!$C$104/(E42*Data_b!$C$104)*1000</f>
        <v>1.7233086093756347</v>
      </c>
    </row>
    <row r="43" spans="5:7">
      <c r="E43" s="51">
        <f t="shared" si="0"/>
        <v>700000</v>
      </c>
      <c r="F43">
        <f>IF(E43&lt;10000000,$C$20*E43/$F$34+$C$22*E43,$C$21*E43/$F$34+$C$23*E43)*Data_b!$C$104/(E43*Data_b!$C$104)*1000</f>
        <v>0.93761154394086355</v>
      </c>
      <c r="G43">
        <f>IF(E43&lt;10000000,$C$26*E43/$F$34+$C$28*E43,$C$27*E43/$F$34+$C$29*E43)*Data_b!$C$104/(E43*Data_b!$C$104)*1000</f>
        <v>1.7233086093756351</v>
      </c>
    </row>
    <row r="44" spans="5:7">
      <c r="E44" s="51">
        <f t="shared" si="0"/>
        <v>800000</v>
      </c>
      <c r="F44">
        <f>IF(E44&lt;10000000,$C$20*E44/$F$34+$C$22*E44,$C$21*E44/$F$34+$C$23*E44)*Data_b!$C$104/(E44*Data_b!$C$104)*1000</f>
        <v>0.93761154394086366</v>
      </c>
      <c r="G44">
        <f>IF(E44&lt;10000000,$C$26*E44/$F$34+$C$28*E44,$C$27*E44/$F$34+$C$29*E44)*Data_b!$C$104/(E44*Data_b!$C$104)*1000</f>
        <v>1.7233086093756351</v>
      </c>
    </row>
    <row r="45" spans="5:7">
      <c r="E45" s="51">
        <f t="shared" si="0"/>
        <v>900000</v>
      </c>
      <c r="F45">
        <f>IF(E45&lt;10000000,$C$20*E45/$F$34+$C$22*E45,$C$21*E45/$F$34+$C$23*E45)*Data_b!$C$104/(E45*Data_b!$C$104)*1000</f>
        <v>0.93761154394086366</v>
      </c>
      <c r="G45">
        <f>IF(E45&lt;10000000,$C$26*E45/$F$34+$C$28*E45,$C$27*E45/$F$34+$C$29*E45)*Data_b!$C$104/(E45*Data_b!$C$104)*1000</f>
        <v>1.7233086093756353</v>
      </c>
    </row>
    <row r="46" spans="5:7">
      <c r="E46" s="51">
        <f t="shared" si="0"/>
        <v>1000000</v>
      </c>
      <c r="F46">
        <f>IF(E46&lt;10000000,$C$20*E46/$F$34+$C$22*E46,$C$21*E46/$F$34+$C$23*E46)*Data_b!$C$104/(E46*Data_b!$C$104)*1000</f>
        <v>0.93761154394086355</v>
      </c>
      <c r="G46">
        <f>IF(E46&lt;10000000,$C$26*E46/$F$34+$C$28*E46,$C$27*E46/$F$34+$C$29*E46)*Data_b!$C$104/(E46*Data_b!$C$104)*1000</f>
        <v>1.7233086093756349</v>
      </c>
    </row>
    <row r="47" spans="5:7">
      <c r="E47" s="51">
        <f t="shared" si="0"/>
        <v>1100000</v>
      </c>
      <c r="F47">
        <f>IF(E47&lt;10000000,$C$20*E47/$F$34+$C$22*E47,$C$21*E47/$F$34+$C$23*E47)*Data_b!$C$104/(E47*Data_b!$C$104)*1000</f>
        <v>0.93761154394086377</v>
      </c>
      <c r="G47">
        <f>IF(E47&lt;10000000,$C$26*E47/$F$34+$C$28*E47,$C$27*E47/$F$34+$C$29*E47)*Data_b!$C$104/(E47*Data_b!$C$104)*1000</f>
        <v>1.7233086093756349</v>
      </c>
    </row>
    <row r="48" spans="5:7">
      <c r="E48" s="51">
        <f t="shared" si="0"/>
        <v>1200000</v>
      </c>
      <c r="F48">
        <f>IF(E48&lt;10000000,$C$20*E48/$F$34+$C$22*E48,$C$21*E48/$F$34+$C$23*E48)*Data_b!$C$104/(E48*Data_b!$C$104)*1000</f>
        <v>0.93761154394086377</v>
      </c>
      <c r="G48">
        <f>IF(E48&lt;10000000,$C$26*E48/$F$34+$C$28*E48,$C$27*E48/$F$34+$C$29*E48)*Data_b!$C$104/(E48*Data_b!$C$104)*1000</f>
        <v>1.7233086093756347</v>
      </c>
    </row>
    <row r="49" spans="5:7">
      <c r="E49" s="51">
        <f t="shared" si="0"/>
        <v>1300000</v>
      </c>
      <c r="F49">
        <f>IF(E49&lt;10000000,$C$20*E49/$F$34+$C$22*E49,$C$21*E49/$F$34+$C$23*E49)*Data_b!$C$104/(E49*Data_b!$C$104)*1000</f>
        <v>0.93761154394086377</v>
      </c>
      <c r="G49">
        <f>IF(E49&lt;10000000,$C$26*E49/$F$34+$C$28*E49,$C$27*E49/$F$34+$C$29*E49)*Data_b!$C$104/(E49*Data_b!$C$104)*1000</f>
        <v>1.7233086093756351</v>
      </c>
    </row>
    <row r="50" spans="5:7">
      <c r="E50" s="51">
        <f t="shared" si="0"/>
        <v>1400000</v>
      </c>
      <c r="F50">
        <f>IF(E50&lt;10000000,$C$20*E50/$F$34+$C$22*E50,$C$21*E50/$F$34+$C$23*E50)*Data_b!$C$104/(E50*Data_b!$C$104)*1000</f>
        <v>0.93761154394086355</v>
      </c>
      <c r="G50">
        <f>IF(E50&lt;10000000,$C$26*E50/$F$34+$C$28*E50,$C$27*E50/$F$34+$C$29*E50)*Data_b!$C$104/(E50*Data_b!$C$104)*1000</f>
        <v>1.7233086093756351</v>
      </c>
    </row>
    <row r="51" spans="5:7">
      <c r="E51" s="51">
        <f t="shared" si="0"/>
        <v>1500000</v>
      </c>
      <c r="F51">
        <f>IF(E51&lt;10000000,$C$20*E51/$F$34+$C$22*E51,$C$21*E51/$F$34+$C$23*E51)*Data_b!$C$104/(E51*Data_b!$C$104)*1000</f>
        <v>0.93761154394086366</v>
      </c>
      <c r="G51">
        <f>IF(E51&lt;10000000,$C$26*E51/$F$34+$C$28*E51,$C$27*E51/$F$34+$C$29*E51)*Data_b!$C$104/(E51*Data_b!$C$104)*1000</f>
        <v>1.7233086093756351</v>
      </c>
    </row>
    <row r="52" spans="5:7">
      <c r="E52" s="51">
        <f t="shared" si="0"/>
        <v>1600000</v>
      </c>
      <c r="F52">
        <f>IF(E52&lt;10000000,$C$20*E52/$F$34+$C$22*E52,$C$21*E52/$F$34+$C$23*E52)*Data_b!$C$104/(E52*Data_b!$C$104)*1000</f>
        <v>0.93761154394086366</v>
      </c>
      <c r="G52">
        <f>IF(E52&lt;10000000,$C$26*E52/$F$34+$C$28*E52,$C$27*E52/$F$34+$C$29*E52)*Data_b!$C$104/(E52*Data_b!$C$104)*1000</f>
        <v>1.7233086093756351</v>
      </c>
    </row>
    <row r="53" spans="5:7">
      <c r="E53" s="51">
        <f t="shared" si="0"/>
        <v>1700000</v>
      </c>
      <c r="F53">
        <f>IF(E53&lt;10000000,$C$20*E53/$F$34+$C$22*E53,$C$21*E53/$F$34+$C$23*E53)*Data_b!$C$104/(E53*Data_b!$C$104)*1000</f>
        <v>0.93761154394086366</v>
      </c>
      <c r="G53">
        <f>IF(E53&lt;10000000,$C$26*E53/$F$34+$C$28*E53,$C$27*E53/$F$34+$C$29*E53)*Data_b!$C$104/(E53*Data_b!$C$104)*1000</f>
        <v>1.7233086093756351</v>
      </c>
    </row>
    <row r="54" spans="5:7">
      <c r="E54" s="51">
        <f t="shared" si="0"/>
        <v>1800000</v>
      </c>
      <c r="F54">
        <f>IF(E54&lt;10000000,$C$20*E54/$F$34+$C$22*E54,$C$21*E54/$F$34+$C$23*E54)*Data_b!$C$104/(E54*Data_b!$C$104)*1000</f>
        <v>0.93761154394086366</v>
      </c>
      <c r="G54">
        <f>IF(E54&lt;10000000,$C$26*E54/$F$34+$C$28*E54,$C$27*E54/$F$34+$C$29*E54)*Data_b!$C$104/(E54*Data_b!$C$104)*1000</f>
        <v>1.7233086093756353</v>
      </c>
    </row>
    <row r="55" spans="5:7">
      <c r="E55" s="51">
        <f t="shared" si="0"/>
        <v>1900000</v>
      </c>
      <c r="F55">
        <f>IF(E55&lt;10000000,$C$20*E55/$F$34+$C$22*E55,$C$21*E55/$F$34+$C$23*E55)*Data_b!$C$104/(E55*Data_b!$C$104)*1000</f>
        <v>0.93761154394086377</v>
      </c>
      <c r="G55">
        <f>IF(E55&lt;10000000,$C$26*E55/$F$34+$C$28*E55,$C$27*E55/$F$34+$C$29*E55)*Data_b!$C$104/(E55*Data_b!$C$104)*1000</f>
        <v>1.7233086093756351</v>
      </c>
    </row>
    <row r="56" spans="5:7">
      <c r="E56" s="51">
        <f t="shared" si="0"/>
        <v>2000000</v>
      </c>
      <c r="F56">
        <f>IF(E56&lt;10000000,$C$20*E56/$F$34+$C$22*E56,$C$21*E56/$F$34+$C$23*E56)*Data_b!$C$104/(E56*Data_b!$C$104)*1000</f>
        <v>0.93761154394086355</v>
      </c>
      <c r="G56">
        <f>IF(E56&lt;10000000,$C$26*E56/$F$34+$C$28*E56,$C$27*E56/$F$34+$C$29*E56)*Data_b!$C$104/(E56*Data_b!$C$104)*1000</f>
        <v>1.7233086093756349</v>
      </c>
    </row>
    <row r="57" spans="5:7">
      <c r="E57" s="51">
        <f t="shared" si="0"/>
        <v>2100000</v>
      </c>
      <c r="F57">
        <f>IF(E57&lt;10000000,$C$20*E57/$F$34+$C$22*E57,$C$21*E57/$F$34+$C$23*E57)*Data_b!$C$104/(E57*Data_b!$C$104)*1000</f>
        <v>0.93761154394086377</v>
      </c>
      <c r="G57">
        <f>IF(E57&lt;10000000,$C$26*E57/$F$34+$C$28*E57,$C$27*E57/$F$34+$C$29*E57)*Data_b!$C$104/(E57*Data_b!$C$104)*1000</f>
        <v>1.7233086093756351</v>
      </c>
    </row>
    <row r="58" spans="5:7">
      <c r="E58" s="51">
        <f t="shared" si="0"/>
        <v>2200000</v>
      </c>
      <c r="F58">
        <f>IF(E58&lt;10000000,$C$20*E58/$F$34+$C$22*E58,$C$21*E58/$F$34+$C$23*E58)*Data_b!$C$104/(E58*Data_b!$C$104)*1000</f>
        <v>0.93761154394086377</v>
      </c>
      <c r="G58">
        <f>IF(E58&lt;10000000,$C$26*E58/$F$34+$C$28*E58,$C$27*E58/$F$34+$C$29*E58)*Data_b!$C$104/(E58*Data_b!$C$104)*1000</f>
        <v>1.7233086093756349</v>
      </c>
    </row>
    <row r="59" spans="5:7">
      <c r="E59" s="51">
        <f t="shared" si="0"/>
        <v>2300000</v>
      </c>
      <c r="F59">
        <f>IF(E59&lt;10000000,$C$20*E59/$F$34+$C$22*E59,$C$21*E59/$F$34+$C$23*E59)*Data_b!$C$104/(E59*Data_b!$C$104)*1000</f>
        <v>0.93761154394086388</v>
      </c>
      <c r="G59">
        <f>IF(E59&lt;10000000,$C$26*E59/$F$34+$C$28*E59,$C$27*E59/$F$34+$C$29*E59)*Data_b!$C$104/(E59*Data_b!$C$104)*1000</f>
        <v>1.7233086093756351</v>
      </c>
    </row>
    <row r="60" spans="5:7">
      <c r="E60" s="51">
        <f t="shared" si="0"/>
        <v>2400000</v>
      </c>
      <c r="F60">
        <f>IF(E60&lt;10000000,$C$20*E60/$F$34+$C$22*E60,$C$21*E60/$F$34+$C$23*E60)*Data_b!$C$104/(E60*Data_b!$C$104)*1000</f>
        <v>0.93761154394086377</v>
      </c>
      <c r="G60">
        <f>IF(E60&lt;10000000,$C$26*E60/$F$34+$C$28*E60,$C$27*E60/$F$34+$C$29*E60)*Data_b!$C$104/(E60*Data_b!$C$104)*1000</f>
        <v>1.7233086093756347</v>
      </c>
    </row>
    <row r="61" spans="5:7">
      <c r="E61" s="51">
        <f t="shared" si="0"/>
        <v>2500000</v>
      </c>
      <c r="F61">
        <f>IF(E61&lt;10000000,$C$20*E61/$F$34+$C$22*E61,$C$21*E61/$F$34+$C$23*E61)*Data_b!$C$104/(E61*Data_b!$C$104)*1000</f>
        <v>0.93761154394086366</v>
      </c>
      <c r="G61">
        <f>IF(E61&lt;10000000,$C$26*E61/$F$34+$C$28*E61,$C$27*E61/$F$34+$C$29*E61)*Data_b!$C$104/(E61*Data_b!$C$104)*1000</f>
        <v>1.7233086093756349</v>
      </c>
    </row>
    <row r="62" spans="5:7">
      <c r="E62" s="51">
        <f t="shared" si="0"/>
        <v>2600000</v>
      </c>
      <c r="F62">
        <f>IF(E62&lt;10000000,$C$20*E62/$F$34+$C$22*E62,$C$21*E62/$F$34+$C$23*E62)*Data_b!$C$104/(E62*Data_b!$C$104)*1000</f>
        <v>0.93761154394086377</v>
      </c>
      <c r="G62">
        <f>IF(E62&lt;10000000,$C$26*E62/$F$34+$C$28*E62,$C$27*E62/$F$34+$C$29*E62)*Data_b!$C$104/(E62*Data_b!$C$104)*1000</f>
        <v>1.7233086093756351</v>
      </c>
    </row>
    <row r="63" spans="5:7">
      <c r="E63" s="51">
        <f t="shared" si="0"/>
        <v>2700000</v>
      </c>
      <c r="F63">
        <f>IF(E63&lt;10000000,$C$20*E63/$F$34+$C$22*E63,$C$21*E63/$F$34+$C$23*E63)*Data_b!$C$104/(E63*Data_b!$C$104)*1000</f>
        <v>0.93761154394086366</v>
      </c>
      <c r="G63">
        <f>IF(E63&lt;10000000,$C$26*E63/$F$34+$C$28*E63,$C$27*E63/$F$34+$C$29*E63)*Data_b!$C$104/(E63*Data_b!$C$104)*1000</f>
        <v>1.7233086093756349</v>
      </c>
    </row>
    <row r="64" spans="5:7">
      <c r="E64" s="51">
        <f t="shared" si="0"/>
        <v>2800000</v>
      </c>
      <c r="F64">
        <f>IF(E64&lt;10000000,$C$20*E64/$F$34+$C$22*E64,$C$21*E64/$F$34+$C$23*E64)*Data_b!$C$104/(E64*Data_b!$C$104)*1000</f>
        <v>0.93761154394086355</v>
      </c>
      <c r="G64">
        <f>IF(E64&lt;10000000,$C$26*E64/$F$34+$C$28*E64,$C$27*E64/$F$34+$C$29*E64)*Data_b!$C$104/(E64*Data_b!$C$104)*1000</f>
        <v>1.7233086093756351</v>
      </c>
    </row>
    <row r="65" spans="5:7">
      <c r="E65" s="51">
        <f t="shared" si="0"/>
        <v>2900000</v>
      </c>
      <c r="F65">
        <f>IF(E65&lt;10000000,$C$20*E65/$F$34+$C$22*E65,$C$21*E65/$F$34+$C$23*E65)*Data_b!$C$104/(E65*Data_b!$C$104)*1000</f>
        <v>0.93761154394086366</v>
      </c>
      <c r="G65">
        <f>IF(E65&lt;10000000,$C$26*E65/$F$34+$C$28*E65,$C$27*E65/$F$34+$C$29*E65)*Data_b!$C$104/(E65*Data_b!$C$104)*1000</f>
        <v>1.7233086093756353</v>
      </c>
    </row>
    <row r="66" spans="5:7">
      <c r="E66" s="51">
        <f t="shared" si="0"/>
        <v>3000000</v>
      </c>
      <c r="F66">
        <f>IF(E66&lt;10000000,$C$20*E66/$F$34+$C$22*E66,$C$21*E66/$F$34+$C$23*E66)*Data_b!$C$104/(E66*Data_b!$C$104)*1000</f>
        <v>0.93761154394086366</v>
      </c>
      <c r="G66">
        <f>IF(E66&lt;10000000,$C$26*E66/$F$34+$C$28*E66,$C$27*E66/$F$34+$C$29*E66)*Data_b!$C$104/(E66*Data_b!$C$104)*1000</f>
        <v>1.7233086093756351</v>
      </c>
    </row>
    <row r="67" spans="5:7">
      <c r="E67" s="51">
        <f t="shared" si="0"/>
        <v>3100000</v>
      </c>
      <c r="F67">
        <f>IF(E67&lt;10000000,$C$20*E67/$F$34+$C$22*E67,$C$21*E67/$F$34+$C$23*E67)*Data_b!$C$104/(E67*Data_b!$C$104)*1000</f>
        <v>0.93761154394086388</v>
      </c>
      <c r="G67">
        <f>IF(E67&lt;10000000,$C$26*E67/$F$34+$C$28*E67,$C$27*E67/$F$34+$C$29*E67)*Data_b!$C$104/(E67*Data_b!$C$104)*1000</f>
        <v>1.7233086093756349</v>
      </c>
    </row>
    <row r="68" spans="5:7">
      <c r="E68" s="51">
        <f t="shared" si="0"/>
        <v>3200000</v>
      </c>
      <c r="F68">
        <f>IF(E68&lt;10000000,$C$20*E68/$F$34+$C$22*E68,$C$21*E68/$F$34+$C$23*E68)*Data_b!$C$104/(E68*Data_b!$C$104)*1000</f>
        <v>0.93761154394086366</v>
      </c>
      <c r="G68">
        <f>IF(E68&lt;10000000,$C$26*E68/$F$34+$C$28*E68,$C$27*E68/$F$34+$C$29*E68)*Data_b!$C$104/(E68*Data_b!$C$104)*1000</f>
        <v>1.7233086093756351</v>
      </c>
    </row>
    <row r="69" spans="5:7">
      <c r="E69" s="51">
        <f t="shared" si="0"/>
        <v>3300000</v>
      </c>
      <c r="F69">
        <f>IF(E69&lt;10000000,$C$20*E69/$F$34+$C$22*E69,$C$21*E69/$F$34+$C$23*E69)*Data_b!$C$104/(E69*Data_b!$C$104)*1000</f>
        <v>0.93761154394086366</v>
      </c>
      <c r="G69">
        <f>IF(E69&lt;10000000,$C$26*E69/$F$34+$C$28*E69,$C$27*E69/$F$34+$C$29*E69)*Data_b!$C$104/(E69*Data_b!$C$104)*1000</f>
        <v>1.7233086093756349</v>
      </c>
    </row>
    <row r="70" spans="5:7">
      <c r="E70" s="51">
        <f t="shared" si="0"/>
        <v>3400000</v>
      </c>
      <c r="F70">
        <f>IF(E70&lt;10000000,$C$20*E70/$F$34+$C$22*E70,$C$21*E70/$F$34+$C$23*E70)*Data_b!$C$104/(E70*Data_b!$C$104)*1000</f>
        <v>0.93761154394086366</v>
      </c>
      <c r="G70">
        <f>IF(E70&lt;10000000,$C$26*E70/$F$34+$C$28*E70,$C$27*E70/$F$34+$C$29*E70)*Data_b!$C$104/(E70*Data_b!$C$104)*1000</f>
        <v>1.7233086093756351</v>
      </c>
    </row>
    <row r="71" spans="5:7">
      <c r="E71" s="51">
        <f t="shared" si="0"/>
        <v>3500000</v>
      </c>
      <c r="F71">
        <f>IF(E71&lt;10000000,$C$20*E71/$F$34+$C$22*E71,$C$21*E71/$F$34+$C$23*E71)*Data_b!$C$104/(E71*Data_b!$C$104)*1000</f>
        <v>0.93761154394086366</v>
      </c>
      <c r="G71">
        <f>IF(E71&lt;10000000,$C$26*E71/$F$34+$C$28*E71,$C$27*E71/$F$34+$C$29*E71)*Data_b!$C$104/(E71*Data_b!$C$104)*1000</f>
        <v>1.7233086093756351</v>
      </c>
    </row>
    <row r="72" spans="5:7">
      <c r="E72" s="51">
        <f t="shared" si="0"/>
        <v>3600000</v>
      </c>
      <c r="F72">
        <f>IF(E72&lt;10000000,$C$20*E72/$F$34+$C$22*E72,$C$21*E72/$F$34+$C$23*E72)*Data_b!$C$104/(E72*Data_b!$C$104)*1000</f>
        <v>0.93761154394086366</v>
      </c>
      <c r="G72">
        <f>IF(E72&lt;10000000,$C$26*E72/$F$34+$C$28*E72,$C$27*E72/$F$34+$C$29*E72)*Data_b!$C$104/(E72*Data_b!$C$104)*1000</f>
        <v>1.7233086093756353</v>
      </c>
    </row>
    <row r="73" spans="5:7">
      <c r="E73" s="51">
        <f t="shared" si="0"/>
        <v>3700000</v>
      </c>
      <c r="F73">
        <f>IF(E73&lt;10000000,$C$20*E73/$F$34+$C$22*E73,$C$21*E73/$F$34+$C$23*E73)*Data_b!$C$104/(E73*Data_b!$C$104)*1000</f>
        <v>0.93761154394086366</v>
      </c>
      <c r="G73">
        <f>IF(E73&lt;10000000,$C$26*E73/$F$34+$C$28*E73,$C$27*E73/$F$34+$C$29*E73)*Data_b!$C$104/(E73*Data_b!$C$104)*1000</f>
        <v>1.7233086093756351</v>
      </c>
    </row>
    <row r="74" spans="5:7">
      <c r="E74" s="51">
        <f t="shared" si="0"/>
        <v>3800000</v>
      </c>
      <c r="F74">
        <f>IF(E74&lt;10000000,$C$20*E74/$F$34+$C$22*E74,$C$21*E74/$F$34+$C$23*E74)*Data_b!$C$104/(E74*Data_b!$C$104)*1000</f>
        <v>0.93761154394086377</v>
      </c>
      <c r="G74">
        <f>IF(E74&lt;10000000,$C$26*E74/$F$34+$C$28*E74,$C$27*E74/$F$34+$C$29*E74)*Data_b!$C$104/(E74*Data_b!$C$104)*1000</f>
        <v>1.7233086093756351</v>
      </c>
    </row>
    <row r="75" spans="5:7">
      <c r="E75" s="51">
        <f t="shared" si="0"/>
        <v>3900000</v>
      </c>
      <c r="F75">
        <f>IF(E75&lt;10000000,$C$20*E75/$F$34+$C$22*E75,$C$21*E75/$F$34+$C$23*E75)*Data_b!$C$104/(E75*Data_b!$C$104)*1000</f>
        <v>0.93761154394086377</v>
      </c>
      <c r="G75">
        <f>IF(E75&lt;10000000,$C$26*E75/$F$34+$C$28*E75,$C$27*E75/$F$34+$C$29*E75)*Data_b!$C$104/(E75*Data_b!$C$104)*1000</f>
        <v>1.7233086093756351</v>
      </c>
    </row>
    <row r="76" spans="5:7">
      <c r="E76" s="51">
        <f t="shared" si="0"/>
        <v>4000000</v>
      </c>
      <c r="F76">
        <f>IF(E76&lt;10000000,$C$20*E76/$F$34+$C$22*E76,$C$21*E76/$F$34+$C$23*E76)*Data_b!$C$104/(E76*Data_b!$C$104)*1000</f>
        <v>0.93761154394086355</v>
      </c>
      <c r="G76">
        <f>IF(E76&lt;10000000,$C$26*E76/$F$34+$C$28*E76,$C$27*E76/$F$34+$C$29*E76)*Data_b!$C$104/(E76*Data_b!$C$104)*1000</f>
        <v>1.7233086093756349</v>
      </c>
    </row>
    <row r="77" spans="5:7">
      <c r="E77" s="51">
        <f t="shared" si="0"/>
        <v>4100000</v>
      </c>
      <c r="F77">
        <f>IF(E77&lt;10000000,$C$20*E77/$F$34+$C$22*E77,$C$21*E77/$F$34+$C$23*E77)*Data_b!$C$104/(E77*Data_b!$C$104)*1000</f>
        <v>0.93761154394086355</v>
      </c>
      <c r="G77">
        <f>IF(E77&lt;10000000,$C$26*E77/$F$34+$C$28*E77,$C$27*E77/$F$34+$C$29*E77)*Data_b!$C$104/(E77*Data_b!$C$104)*1000</f>
        <v>1.7233086093756351</v>
      </c>
    </row>
    <row r="78" spans="5:7">
      <c r="E78" s="51">
        <f t="shared" si="0"/>
        <v>4200000</v>
      </c>
      <c r="F78">
        <f>IF(E78&lt;10000000,$C$20*E78/$F$34+$C$22*E78,$C$21*E78/$F$34+$C$23*E78)*Data_b!$C$104/(E78*Data_b!$C$104)*1000</f>
        <v>0.93761154394086377</v>
      </c>
      <c r="G78">
        <f>IF(E78&lt;10000000,$C$26*E78/$F$34+$C$28*E78,$C$27*E78/$F$34+$C$29*E78)*Data_b!$C$104/(E78*Data_b!$C$104)*1000</f>
        <v>1.7233086093756351</v>
      </c>
    </row>
    <row r="79" spans="5:7">
      <c r="E79" s="51">
        <f t="shared" si="0"/>
        <v>4300000</v>
      </c>
      <c r="F79">
        <f>IF(E79&lt;10000000,$C$20*E79/$F$34+$C$22*E79,$C$21*E79/$F$34+$C$23*E79)*Data_b!$C$104/(E79*Data_b!$C$104)*1000</f>
        <v>0.93761154394086377</v>
      </c>
      <c r="G79">
        <f>IF(E79&lt;10000000,$C$26*E79/$F$34+$C$28*E79,$C$27*E79/$F$34+$C$29*E79)*Data_b!$C$104/(E79*Data_b!$C$104)*1000</f>
        <v>1.7233086093756349</v>
      </c>
    </row>
    <row r="80" spans="5:7">
      <c r="E80" s="51">
        <f t="shared" si="0"/>
        <v>4400000</v>
      </c>
      <c r="F80">
        <f>IF(E80&lt;10000000,$C$20*E80/$F$34+$C$22*E80,$C$21*E80/$F$34+$C$23*E80)*Data_b!$C$104/(E80*Data_b!$C$104)*1000</f>
        <v>0.93761154394086377</v>
      </c>
      <c r="G80">
        <f>IF(E80&lt;10000000,$C$26*E80/$F$34+$C$28*E80,$C$27*E80/$F$34+$C$29*E80)*Data_b!$C$104/(E80*Data_b!$C$104)*1000</f>
        <v>1.7233086093756349</v>
      </c>
    </row>
    <row r="81" spans="5:7">
      <c r="E81" s="51">
        <f t="shared" si="0"/>
        <v>4500000</v>
      </c>
      <c r="F81">
        <f>IF(E81&lt;10000000,$C$20*E81/$F$34+$C$22*E81,$C$21*E81/$F$34+$C$23*E81)*Data_b!$C$104/(E81*Data_b!$C$104)*1000</f>
        <v>0.93761154394086366</v>
      </c>
      <c r="G81">
        <f>IF(E81&lt;10000000,$C$26*E81/$F$34+$C$28*E81,$C$27*E81/$F$34+$C$29*E81)*Data_b!$C$104/(E81*Data_b!$C$104)*1000</f>
        <v>1.7233086093756353</v>
      </c>
    </row>
    <row r="82" spans="5:7">
      <c r="E82" s="51">
        <f t="shared" si="0"/>
        <v>4600000</v>
      </c>
      <c r="F82">
        <f>IF(E82&lt;10000000,$C$20*E82/$F$34+$C$22*E82,$C$21*E82/$F$34+$C$23*E82)*Data_b!$C$104/(E82*Data_b!$C$104)*1000</f>
        <v>0.93761154394086388</v>
      </c>
      <c r="G82">
        <f>IF(E82&lt;10000000,$C$26*E82/$F$34+$C$28*E82,$C$27*E82/$F$34+$C$29*E82)*Data_b!$C$104/(E82*Data_b!$C$104)*1000</f>
        <v>1.7233086093756351</v>
      </c>
    </row>
    <row r="83" spans="5:7">
      <c r="E83" s="51">
        <f t="shared" si="0"/>
        <v>4700000</v>
      </c>
      <c r="F83">
        <f>IF(E83&lt;10000000,$C$20*E83/$F$34+$C$22*E83,$C$21*E83/$F$34+$C$23*E83)*Data_b!$C$104/(E83*Data_b!$C$104)*1000</f>
        <v>0.93761154394086377</v>
      </c>
      <c r="G83">
        <f>IF(E83&lt;10000000,$C$26*E83/$F$34+$C$28*E83,$C$27*E83/$F$34+$C$29*E83)*Data_b!$C$104/(E83*Data_b!$C$104)*1000</f>
        <v>1.7233086093756349</v>
      </c>
    </row>
    <row r="84" spans="5:7">
      <c r="E84" s="51">
        <f t="shared" si="0"/>
        <v>4800000</v>
      </c>
      <c r="F84">
        <f>IF(E84&lt;10000000,$C$20*E84/$F$34+$C$22*E84,$C$21*E84/$F$34+$C$23*E84)*Data_b!$C$104/(E84*Data_b!$C$104)*1000</f>
        <v>0.93761154394086377</v>
      </c>
      <c r="G84">
        <f>IF(E84&lt;10000000,$C$26*E84/$F$34+$C$28*E84,$C$27*E84/$F$34+$C$29*E84)*Data_b!$C$104/(E84*Data_b!$C$104)*1000</f>
        <v>1.7233086093756347</v>
      </c>
    </row>
    <row r="85" spans="5:7">
      <c r="E85" s="51">
        <f t="shared" si="0"/>
        <v>4900000</v>
      </c>
      <c r="F85">
        <f>IF(E85&lt;10000000,$C$20*E85/$F$34+$C$22*E85,$C$21*E85/$F$34+$C$23*E85)*Data_b!$C$104/(E85*Data_b!$C$104)*1000</f>
        <v>0.93761154394086366</v>
      </c>
      <c r="G85">
        <f>IF(E85&lt;10000000,$C$26*E85/$F$34+$C$28*E85,$C$27*E85/$F$34+$C$29*E85)*Data_b!$C$104/(E85*Data_b!$C$104)*1000</f>
        <v>1.7233086093756353</v>
      </c>
    </row>
    <row r="86" spans="5:7">
      <c r="E86" s="51">
        <f t="shared" si="0"/>
        <v>5000000</v>
      </c>
      <c r="F86">
        <f>IF(E86&lt;10000000,$C$20*E86/$F$34+$C$22*E86,$C$21*E86/$F$34+$C$23*E86)*Data_b!$C$104/(E86*Data_b!$C$104)*1000</f>
        <v>0.93761154394086366</v>
      </c>
      <c r="G86">
        <f>IF(E86&lt;10000000,$C$26*E86/$F$34+$C$28*E86,$C$27*E86/$F$34+$C$29*E86)*Data_b!$C$104/(E86*Data_b!$C$104)*1000</f>
        <v>1.7233086093756349</v>
      </c>
    </row>
    <row r="87" spans="5:7">
      <c r="E87" s="51">
        <f t="shared" si="0"/>
        <v>5100000</v>
      </c>
      <c r="F87">
        <f>IF(E87&lt;10000000,$C$20*E87/$F$34+$C$22*E87,$C$21*E87/$F$34+$C$23*E87)*Data_b!$C$104/(E87*Data_b!$C$104)*1000</f>
        <v>0.93761154394086366</v>
      </c>
      <c r="G87">
        <f>IF(E87&lt;10000000,$C$26*E87/$F$34+$C$28*E87,$C$27*E87/$F$34+$C$29*E87)*Data_b!$C$104/(E87*Data_b!$C$104)*1000</f>
        <v>1.7233086093756349</v>
      </c>
    </row>
    <row r="88" spans="5:7">
      <c r="E88" s="51">
        <f t="shared" si="0"/>
        <v>5200000</v>
      </c>
      <c r="F88">
        <f>IF(E88&lt;10000000,$C$20*E88/$F$34+$C$22*E88,$C$21*E88/$F$34+$C$23*E88)*Data_b!$C$104/(E88*Data_b!$C$104)*1000</f>
        <v>0.93761154394086377</v>
      </c>
      <c r="G88">
        <f>IF(E88&lt;10000000,$C$26*E88/$F$34+$C$28*E88,$C$27*E88/$F$34+$C$29*E88)*Data_b!$C$104/(E88*Data_b!$C$104)*1000</f>
        <v>1.7233086093756351</v>
      </c>
    </row>
    <row r="89" spans="5:7">
      <c r="E89" s="51">
        <f t="shared" si="0"/>
        <v>5300000</v>
      </c>
      <c r="F89">
        <f>IF(E89&lt;10000000,$C$20*E89/$F$34+$C$22*E89,$C$21*E89/$F$34+$C$23*E89)*Data_b!$C$104/(E89*Data_b!$C$104)*1000</f>
        <v>0.93761154394086355</v>
      </c>
      <c r="G89">
        <f>IF(E89&lt;10000000,$C$26*E89/$F$34+$C$28*E89,$C$27*E89/$F$34+$C$29*E89)*Data_b!$C$104/(E89*Data_b!$C$104)*1000</f>
        <v>1.7233086093756353</v>
      </c>
    </row>
    <row r="90" spans="5:7">
      <c r="E90" s="51">
        <f t="shared" si="0"/>
        <v>5400000</v>
      </c>
      <c r="F90">
        <f>IF(E90&lt;10000000,$C$20*E90/$F$34+$C$22*E90,$C$21*E90/$F$34+$C$23*E90)*Data_b!$C$104/(E90*Data_b!$C$104)*1000</f>
        <v>0.93761154394086366</v>
      </c>
      <c r="G90">
        <f>IF(E90&lt;10000000,$C$26*E90/$F$34+$C$28*E90,$C$27*E90/$F$34+$C$29*E90)*Data_b!$C$104/(E90*Data_b!$C$104)*1000</f>
        <v>1.7233086093756349</v>
      </c>
    </row>
    <row r="91" spans="5:7">
      <c r="E91" s="51">
        <f t="shared" si="0"/>
        <v>5500000</v>
      </c>
      <c r="F91">
        <f>IF(E91&lt;10000000,$C$20*E91/$F$34+$C$22*E91,$C$21*E91/$F$34+$C$23*E91)*Data_b!$C$104/(E91*Data_b!$C$104)*1000</f>
        <v>0.93761154394086366</v>
      </c>
      <c r="G91">
        <f>IF(E91&lt;10000000,$C$26*E91/$F$34+$C$28*E91,$C$27*E91/$F$34+$C$29*E91)*Data_b!$C$104/(E91*Data_b!$C$104)*1000</f>
        <v>1.7233086093756349</v>
      </c>
    </row>
    <row r="92" spans="5:7">
      <c r="E92" s="51">
        <f t="shared" si="0"/>
        <v>5600000</v>
      </c>
      <c r="F92">
        <f>IF(E92&lt;10000000,$C$20*E92/$F$34+$C$22*E92,$C$21*E92/$F$34+$C$23*E92)*Data_b!$C$104/(E92*Data_b!$C$104)*1000</f>
        <v>0.93761154394086355</v>
      </c>
      <c r="G92">
        <f>IF(E92&lt;10000000,$C$26*E92/$F$34+$C$28*E92,$C$27*E92/$F$34+$C$29*E92)*Data_b!$C$104/(E92*Data_b!$C$104)*1000</f>
        <v>1.7233086093756351</v>
      </c>
    </row>
    <row r="93" spans="5:7">
      <c r="E93" s="51">
        <f t="shared" si="0"/>
        <v>5700000</v>
      </c>
      <c r="F93">
        <f>IF(E93&lt;10000000,$C$20*E93/$F$34+$C$22*E93,$C$21*E93/$F$34+$C$23*E93)*Data_b!$C$104/(E93*Data_b!$C$104)*1000</f>
        <v>0.93761154394086366</v>
      </c>
      <c r="G93">
        <f>IF(E93&lt;10000000,$C$26*E93/$F$34+$C$28*E93,$C$27*E93/$F$34+$C$29*E93)*Data_b!$C$104/(E93*Data_b!$C$104)*1000</f>
        <v>1.7233086093756349</v>
      </c>
    </row>
    <row r="94" spans="5:7">
      <c r="E94" s="51">
        <f t="shared" si="0"/>
        <v>5800000</v>
      </c>
      <c r="F94">
        <f>IF(E94&lt;10000000,$C$20*E94/$F$34+$C$22*E94,$C$21*E94/$F$34+$C$23*E94)*Data_b!$C$104/(E94*Data_b!$C$104)*1000</f>
        <v>0.93761154394086366</v>
      </c>
      <c r="G94">
        <f>IF(E94&lt;10000000,$C$26*E94/$F$34+$C$28*E94,$C$27*E94/$F$34+$C$29*E94)*Data_b!$C$104/(E94*Data_b!$C$104)*1000</f>
        <v>1.7233086093756353</v>
      </c>
    </row>
    <row r="95" spans="5:7">
      <c r="E95" s="51">
        <f t="shared" si="0"/>
        <v>5900000</v>
      </c>
      <c r="F95">
        <f>IF(E95&lt;10000000,$C$20*E95/$F$34+$C$22*E95,$C$21*E95/$F$34+$C$23*E95)*Data_b!$C$104/(E95*Data_b!$C$104)*1000</f>
        <v>0.93761154394086355</v>
      </c>
      <c r="G95">
        <f>IF(E95&lt;10000000,$C$26*E95/$F$34+$C$28*E95,$C$27*E95/$F$34+$C$29*E95)*Data_b!$C$104/(E95*Data_b!$C$104)*1000</f>
        <v>1.7233086093756353</v>
      </c>
    </row>
    <row r="96" spans="5:7">
      <c r="E96" s="51">
        <f t="shared" si="0"/>
        <v>6000000</v>
      </c>
      <c r="F96">
        <f>IF(E96&lt;10000000,$C$20*E96/$F$34+$C$22*E96,$C$21*E96/$F$34+$C$23*E96)*Data_b!$C$104/(E96*Data_b!$C$104)*1000</f>
        <v>0.93761154394086366</v>
      </c>
      <c r="G96">
        <f>IF(E96&lt;10000000,$C$26*E96/$F$34+$C$28*E96,$C$27*E96/$F$34+$C$29*E96)*Data_b!$C$104/(E96*Data_b!$C$104)*1000</f>
        <v>1.7233086093756351</v>
      </c>
    </row>
    <row r="97" spans="5:7">
      <c r="E97" s="51">
        <f t="shared" si="0"/>
        <v>6100000</v>
      </c>
      <c r="F97">
        <f>IF(E97&lt;10000000,$C$20*E97/$F$34+$C$22*E97,$C$21*E97/$F$34+$C$23*E97)*Data_b!$C$104/(E97*Data_b!$C$104)*1000</f>
        <v>0.93761154394086355</v>
      </c>
      <c r="G97">
        <f>IF(E97&lt;10000000,$C$26*E97/$F$34+$C$28*E97,$C$27*E97/$F$34+$C$29*E97)*Data_b!$C$104/(E97*Data_b!$C$104)*1000</f>
        <v>1.7233086093756351</v>
      </c>
    </row>
    <row r="98" spans="5:7">
      <c r="E98" s="51">
        <f t="shared" si="0"/>
        <v>6200000</v>
      </c>
      <c r="F98">
        <f>IF(E98&lt;10000000,$C$20*E98/$F$34+$C$22*E98,$C$21*E98/$F$34+$C$23*E98)*Data_b!$C$104/(E98*Data_b!$C$104)*1000</f>
        <v>0.93761154394086388</v>
      </c>
      <c r="G98">
        <f>IF(E98&lt;10000000,$C$26*E98/$F$34+$C$28*E98,$C$27*E98/$F$34+$C$29*E98)*Data_b!$C$104/(E98*Data_b!$C$104)*1000</f>
        <v>1.7233086093756349</v>
      </c>
    </row>
    <row r="99" spans="5:7">
      <c r="E99" s="51">
        <f t="shared" si="0"/>
        <v>6300000</v>
      </c>
      <c r="F99">
        <f>IF(E99&lt;10000000,$C$20*E99/$F$34+$C$22*E99,$C$21*E99/$F$34+$C$23*E99)*Data_b!$C$104/(E99*Data_b!$C$104)*1000</f>
        <v>0.93761154394086377</v>
      </c>
      <c r="G99">
        <f>IF(E99&lt;10000000,$C$26*E99/$F$34+$C$28*E99,$C$27*E99/$F$34+$C$29*E99)*Data_b!$C$104/(E99*Data_b!$C$104)*1000</f>
        <v>1.7233086093756351</v>
      </c>
    </row>
    <row r="100" spans="5:7">
      <c r="E100" s="51">
        <f t="shared" si="0"/>
        <v>6400000</v>
      </c>
      <c r="F100">
        <f>IF(E100&lt;10000000,$C$20*E100/$F$34+$C$22*E100,$C$21*E100/$F$34+$C$23*E100)*Data_b!$C$104/(E100*Data_b!$C$104)*1000</f>
        <v>0.93761154394086366</v>
      </c>
      <c r="G100">
        <f>IF(E100&lt;10000000,$C$26*E100/$F$34+$C$28*E100,$C$27*E100/$F$34+$C$29*E100)*Data_b!$C$104/(E100*Data_b!$C$104)*1000</f>
        <v>1.7233086093756351</v>
      </c>
    </row>
    <row r="101" spans="5:7">
      <c r="E101" s="51">
        <f t="shared" si="0"/>
        <v>6500000</v>
      </c>
      <c r="F101">
        <f>IF(E101&lt;10000000,$C$20*E101/$F$34+$C$22*E101,$C$21*E101/$F$34+$C$23*E101)*Data_b!$C$104/(E101*Data_b!$C$104)*1000</f>
        <v>0.93761154394086377</v>
      </c>
      <c r="G101">
        <f>IF(E101&lt;10000000,$C$26*E101/$F$34+$C$28*E101,$C$27*E101/$F$34+$C$29*E101)*Data_b!$C$104/(E101*Data_b!$C$104)*1000</f>
        <v>1.7233086093756351</v>
      </c>
    </row>
    <row r="102" spans="5:7">
      <c r="E102" s="51">
        <f t="shared" si="0"/>
        <v>6600000</v>
      </c>
      <c r="F102">
        <f>IF(E102&lt;10000000,$C$20*E102/$F$34+$C$22*E102,$C$21*E102/$F$34+$C$23*E102)*Data_b!$C$104/(E102*Data_b!$C$104)*1000</f>
        <v>0.93761154394086366</v>
      </c>
      <c r="G102">
        <f>IF(E102&lt;10000000,$C$26*E102/$F$34+$C$28*E102,$C$27*E102/$F$34+$C$29*E102)*Data_b!$C$104/(E102*Data_b!$C$104)*1000</f>
        <v>1.7233086093756349</v>
      </c>
    </row>
    <row r="103" spans="5:7">
      <c r="E103" s="51">
        <f t="shared" ref="E103:E166" si="1">+E102+$E$37</f>
        <v>6700000</v>
      </c>
      <c r="F103">
        <f>IF(E103&lt;10000000,$C$20*E103/$F$34+$C$22*E103,$C$21*E103/$F$34+$C$23*E103)*Data_b!$C$104/(E103*Data_b!$C$104)*1000</f>
        <v>0.93761154394086377</v>
      </c>
      <c r="G103">
        <f>IF(E103&lt;10000000,$C$26*E103/$F$34+$C$28*E103,$C$27*E103/$F$34+$C$29*E103)*Data_b!$C$104/(E103*Data_b!$C$104)*1000</f>
        <v>1.7233086093756353</v>
      </c>
    </row>
    <row r="104" spans="5:7">
      <c r="E104" s="51">
        <f t="shared" si="1"/>
        <v>6800000</v>
      </c>
      <c r="F104">
        <f>IF(E104&lt;10000000,$C$20*E104/$F$34+$C$22*E104,$C$21*E104/$F$34+$C$23*E104)*Data_b!$C$104/(E104*Data_b!$C$104)*1000</f>
        <v>0.93761154394086366</v>
      </c>
      <c r="G104">
        <f>IF(E104&lt;10000000,$C$26*E104/$F$34+$C$28*E104,$C$27*E104/$F$34+$C$29*E104)*Data_b!$C$104/(E104*Data_b!$C$104)*1000</f>
        <v>1.7233086093756351</v>
      </c>
    </row>
    <row r="105" spans="5:7">
      <c r="E105" s="51">
        <f t="shared" si="1"/>
        <v>6900000</v>
      </c>
      <c r="F105">
        <f>IF(E105&lt;10000000,$C$20*E105/$F$34+$C$22*E105,$C$21*E105/$F$34+$C$23*E105)*Data_b!$C$104/(E105*Data_b!$C$104)*1000</f>
        <v>0.93761154394086377</v>
      </c>
      <c r="G105">
        <f>IF(E105&lt;10000000,$C$26*E105/$F$34+$C$28*E105,$C$27*E105/$F$34+$C$29*E105)*Data_b!$C$104/(E105*Data_b!$C$104)*1000</f>
        <v>1.7233086093756349</v>
      </c>
    </row>
    <row r="106" spans="5:7">
      <c r="E106" s="51">
        <f t="shared" si="1"/>
        <v>7000000</v>
      </c>
      <c r="F106">
        <f>IF(E106&lt;10000000,$C$20*E106/$F$34+$C$22*E106,$C$21*E106/$F$34+$C$23*E106)*Data_b!$C$104/(E106*Data_b!$C$104)*1000</f>
        <v>0.93761154394086366</v>
      </c>
      <c r="G106">
        <f>IF(E106&lt;10000000,$C$26*E106/$F$34+$C$28*E106,$C$27*E106/$F$34+$C$29*E106)*Data_b!$C$104/(E106*Data_b!$C$104)*1000</f>
        <v>1.7233086093756351</v>
      </c>
    </row>
    <row r="107" spans="5:7">
      <c r="E107" s="51">
        <f t="shared" si="1"/>
        <v>7100000</v>
      </c>
      <c r="F107">
        <f>IF(E107&lt;10000000,$C$20*E107/$F$34+$C$22*E107,$C$21*E107/$F$34+$C$23*E107)*Data_b!$C$104/(E107*Data_b!$C$104)*1000</f>
        <v>0.93761154394086355</v>
      </c>
      <c r="G107">
        <f>IF(E107&lt;10000000,$C$26*E107/$F$34+$C$28*E107,$C$27*E107/$F$34+$C$29*E107)*Data_b!$C$104/(E107*Data_b!$C$104)*1000</f>
        <v>1.7233086093756351</v>
      </c>
    </row>
    <row r="108" spans="5:7">
      <c r="E108" s="51">
        <f t="shared" si="1"/>
        <v>7200000</v>
      </c>
      <c r="F108">
        <f>IF(E108&lt;10000000,$C$20*E108/$F$34+$C$22*E108,$C$21*E108/$F$34+$C$23*E108)*Data_b!$C$104/(E108*Data_b!$C$104)*1000</f>
        <v>0.93761154394086366</v>
      </c>
      <c r="G108">
        <f>IF(E108&lt;10000000,$C$26*E108/$F$34+$C$28*E108,$C$27*E108/$F$34+$C$29*E108)*Data_b!$C$104/(E108*Data_b!$C$104)*1000</f>
        <v>1.7233086093756353</v>
      </c>
    </row>
    <row r="109" spans="5:7">
      <c r="E109" s="51">
        <f t="shared" si="1"/>
        <v>7300000</v>
      </c>
      <c r="F109">
        <f>IF(E109&lt;10000000,$C$20*E109/$F$34+$C$22*E109,$C$21*E109/$F$34+$C$23*E109)*Data_b!$C$104/(E109*Data_b!$C$104)*1000</f>
        <v>0.93761154394086377</v>
      </c>
      <c r="G109">
        <f>IF(E109&lt;10000000,$C$26*E109/$F$34+$C$28*E109,$C$27*E109/$F$34+$C$29*E109)*Data_b!$C$104/(E109*Data_b!$C$104)*1000</f>
        <v>1.7233086093756349</v>
      </c>
    </row>
    <row r="110" spans="5:7">
      <c r="E110" s="51">
        <f t="shared" si="1"/>
        <v>7400000</v>
      </c>
      <c r="F110">
        <f>IF(E110&lt;10000000,$C$20*E110/$F$34+$C$22*E110,$C$21*E110/$F$34+$C$23*E110)*Data_b!$C$104/(E110*Data_b!$C$104)*1000</f>
        <v>0.93761154394086366</v>
      </c>
      <c r="G110">
        <f>IF(E110&lt;10000000,$C$26*E110/$F$34+$C$28*E110,$C$27*E110/$F$34+$C$29*E110)*Data_b!$C$104/(E110*Data_b!$C$104)*1000</f>
        <v>1.7233086093756351</v>
      </c>
    </row>
    <row r="111" spans="5:7">
      <c r="E111" s="51">
        <f t="shared" si="1"/>
        <v>7500000</v>
      </c>
      <c r="F111">
        <f>IF(E111&lt;10000000,$C$20*E111/$F$34+$C$22*E111,$C$21*E111/$F$34+$C$23*E111)*Data_b!$C$104/(E111*Data_b!$C$104)*1000</f>
        <v>0.93761154394086366</v>
      </c>
      <c r="G111">
        <f>IF(E111&lt;10000000,$C$26*E111/$F$34+$C$28*E111,$C$27*E111/$F$34+$C$29*E111)*Data_b!$C$104/(E111*Data_b!$C$104)*1000</f>
        <v>1.7233086093756353</v>
      </c>
    </row>
    <row r="112" spans="5:7">
      <c r="E112" s="51">
        <f t="shared" si="1"/>
        <v>7600000</v>
      </c>
      <c r="F112">
        <f>IF(E112&lt;10000000,$C$20*E112/$F$34+$C$22*E112,$C$21*E112/$F$34+$C$23*E112)*Data_b!$C$104/(E112*Data_b!$C$104)*1000</f>
        <v>0.93761154394086377</v>
      </c>
      <c r="G112">
        <f>IF(E112&lt;10000000,$C$26*E112/$F$34+$C$28*E112,$C$27*E112/$F$34+$C$29*E112)*Data_b!$C$104/(E112*Data_b!$C$104)*1000</f>
        <v>1.7233086093756351</v>
      </c>
    </row>
    <row r="113" spans="5:7">
      <c r="E113" s="51">
        <f t="shared" si="1"/>
        <v>7700000</v>
      </c>
      <c r="F113">
        <f>IF(E113&lt;10000000,$C$20*E113/$F$34+$C$22*E113,$C$21*E113/$F$34+$C$23*E113)*Data_b!$C$104/(E113*Data_b!$C$104)*1000</f>
        <v>0.93761154394086377</v>
      </c>
      <c r="G113">
        <f>IF(E113&lt;10000000,$C$26*E113/$F$34+$C$28*E113,$C$27*E113/$F$34+$C$29*E113)*Data_b!$C$104/(E113*Data_b!$C$104)*1000</f>
        <v>1.7233086093756353</v>
      </c>
    </row>
    <row r="114" spans="5:7">
      <c r="E114" s="51">
        <f t="shared" si="1"/>
        <v>7800000</v>
      </c>
      <c r="F114">
        <f>IF(E114&lt;10000000,$C$20*E114/$F$34+$C$22*E114,$C$21*E114/$F$34+$C$23*E114)*Data_b!$C$104/(E114*Data_b!$C$104)*1000</f>
        <v>0.93761154394086377</v>
      </c>
      <c r="G114">
        <f>IF(E114&lt;10000000,$C$26*E114/$F$34+$C$28*E114,$C$27*E114/$F$34+$C$29*E114)*Data_b!$C$104/(E114*Data_b!$C$104)*1000</f>
        <v>1.7233086093756351</v>
      </c>
    </row>
    <row r="115" spans="5:7">
      <c r="E115" s="51">
        <f t="shared" si="1"/>
        <v>7900000</v>
      </c>
      <c r="F115">
        <f>IF(E115&lt;10000000,$C$20*E115/$F$34+$C$22*E115,$C$21*E115/$F$34+$C$23*E115)*Data_b!$C$104/(E115*Data_b!$C$104)*1000</f>
        <v>0.93761154394086366</v>
      </c>
      <c r="G115">
        <f>IF(E115&lt;10000000,$C$26*E115/$F$34+$C$28*E115,$C$27*E115/$F$34+$C$29*E115)*Data_b!$C$104/(E115*Data_b!$C$104)*1000</f>
        <v>1.7233086093756351</v>
      </c>
    </row>
    <row r="116" spans="5:7">
      <c r="E116" s="51">
        <f t="shared" si="1"/>
        <v>8000000</v>
      </c>
      <c r="F116">
        <f>IF(E116&lt;10000000,$C$20*E116/$F$34+$C$22*E116,$C$21*E116/$F$34+$C$23*E116)*Data_b!$C$104/(E116*Data_b!$C$104)*1000</f>
        <v>0.93761154394086355</v>
      </c>
      <c r="G116">
        <f>IF(E116&lt;10000000,$C$26*E116/$F$34+$C$28*E116,$C$27*E116/$F$34+$C$29*E116)*Data_b!$C$104/(E116*Data_b!$C$104)*1000</f>
        <v>1.7233086093756349</v>
      </c>
    </row>
    <row r="117" spans="5:7">
      <c r="E117" s="51">
        <f t="shared" si="1"/>
        <v>8100000</v>
      </c>
      <c r="F117">
        <f>IF(E117&lt;10000000,$C$20*E117/$F$34+$C$22*E117,$C$21*E117/$F$34+$C$23*E117)*Data_b!$C$104/(E117*Data_b!$C$104)*1000</f>
        <v>0.93761154394086366</v>
      </c>
      <c r="G117">
        <f>IF(E117&lt;10000000,$C$26*E117/$F$34+$C$28*E117,$C$27*E117/$F$34+$C$29*E117)*Data_b!$C$104/(E117*Data_b!$C$104)*1000</f>
        <v>1.7233086093756349</v>
      </c>
    </row>
    <row r="118" spans="5:7">
      <c r="E118" s="51">
        <f t="shared" si="1"/>
        <v>8200000</v>
      </c>
      <c r="F118">
        <f>IF(E118&lt;10000000,$C$20*E118/$F$34+$C$22*E118,$C$21*E118/$F$34+$C$23*E118)*Data_b!$C$104/(E118*Data_b!$C$104)*1000</f>
        <v>0.93761154394086355</v>
      </c>
      <c r="G118">
        <f>IF(E118&lt;10000000,$C$26*E118/$F$34+$C$28*E118,$C$27*E118/$F$34+$C$29*E118)*Data_b!$C$104/(E118*Data_b!$C$104)*1000</f>
        <v>1.7233086093756351</v>
      </c>
    </row>
    <row r="119" spans="5:7">
      <c r="E119" s="51">
        <f t="shared" si="1"/>
        <v>8300000</v>
      </c>
      <c r="F119">
        <f>IF(E119&lt;10000000,$C$20*E119/$F$34+$C$22*E119,$C$21*E119/$F$34+$C$23*E119)*Data_b!$C$104/(E119*Data_b!$C$104)*1000</f>
        <v>0.93761154394086377</v>
      </c>
      <c r="G119">
        <f>IF(E119&lt;10000000,$C$26*E119/$F$34+$C$28*E119,$C$27*E119/$F$34+$C$29*E119)*Data_b!$C$104/(E119*Data_b!$C$104)*1000</f>
        <v>1.7233086093756353</v>
      </c>
    </row>
    <row r="120" spans="5:7">
      <c r="E120" s="51">
        <f t="shared" si="1"/>
        <v>8400000</v>
      </c>
      <c r="F120">
        <f>IF(E120&lt;10000000,$C$20*E120/$F$34+$C$22*E120,$C$21*E120/$F$34+$C$23*E120)*Data_b!$C$104/(E120*Data_b!$C$104)*1000</f>
        <v>0.93761154394086377</v>
      </c>
      <c r="G120">
        <f>IF(E120&lt;10000000,$C$26*E120/$F$34+$C$28*E120,$C$27*E120/$F$34+$C$29*E120)*Data_b!$C$104/(E120*Data_b!$C$104)*1000</f>
        <v>1.7233086093756351</v>
      </c>
    </row>
    <row r="121" spans="5:7">
      <c r="E121" s="51">
        <f t="shared" si="1"/>
        <v>8500000</v>
      </c>
      <c r="F121">
        <f>IF(E121&lt;10000000,$C$20*E121/$F$34+$C$22*E121,$C$21*E121/$F$34+$C$23*E121)*Data_b!$C$104/(E121*Data_b!$C$104)*1000</f>
        <v>0.93761154394086366</v>
      </c>
      <c r="G121">
        <f>IF(E121&lt;10000000,$C$26*E121/$F$34+$C$28*E121,$C$27*E121/$F$34+$C$29*E121)*Data_b!$C$104/(E121*Data_b!$C$104)*1000</f>
        <v>1.7233086093756351</v>
      </c>
    </row>
    <row r="122" spans="5:7">
      <c r="E122" s="51">
        <f t="shared" si="1"/>
        <v>8600000</v>
      </c>
      <c r="F122">
        <f>IF(E122&lt;10000000,$C$20*E122/$F$34+$C$22*E122,$C$21*E122/$F$34+$C$23*E122)*Data_b!$C$104/(E122*Data_b!$C$104)*1000</f>
        <v>0.93761154394086377</v>
      </c>
      <c r="G122">
        <f>IF(E122&lt;10000000,$C$26*E122/$F$34+$C$28*E122,$C$27*E122/$F$34+$C$29*E122)*Data_b!$C$104/(E122*Data_b!$C$104)*1000</f>
        <v>1.7233086093756349</v>
      </c>
    </row>
    <row r="123" spans="5:7">
      <c r="E123" s="51">
        <f t="shared" si="1"/>
        <v>8700000</v>
      </c>
      <c r="F123">
        <f>IF(E123&lt;10000000,$C$20*E123/$F$34+$C$22*E123,$C$21*E123/$F$34+$C$23*E123)*Data_b!$C$104/(E123*Data_b!$C$104)*1000</f>
        <v>0.93761154394086366</v>
      </c>
      <c r="G123">
        <f>IF(E123&lt;10000000,$C$26*E123/$F$34+$C$28*E123,$C$27*E123/$F$34+$C$29*E123)*Data_b!$C$104/(E123*Data_b!$C$104)*1000</f>
        <v>1.7233086093756351</v>
      </c>
    </row>
    <row r="124" spans="5:7">
      <c r="E124" s="51">
        <f t="shared" si="1"/>
        <v>8800000</v>
      </c>
      <c r="F124">
        <f>IF(E124&lt;10000000,$C$20*E124/$F$34+$C$22*E124,$C$21*E124/$F$34+$C$23*E124)*Data_b!$C$104/(E124*Data_b!$C$104)*1000</f>
        <v>0.93761154394086377</v>
      </c>
      <c r="G124">
        <f>IF(E124&lt;10000000,$C$26*E124/$F$34+$C$28*E124,$C$27*E124/$F$34+$C$29*E124)*Data_b!$C$104/(E124*Data_b!$C$104)*1000</f>
        <v>1.7233086093756349</v>
      </c>
    </row>
    <row r="125" spans="5:7">
      <c r="E125" s="51">
        <f t="shared" si="1"/>
        <v>8900000</v>
      </c>
      <c r="F125">
        <f>IF(E125&lt;10000000,$C$20*E125/$F$34+$C$22*E125,$C$21*E125/$F$34+$C$23*E125)*Data_b!$C$104/(E125*Data_b!$C$104)*1000</f>
        <v>0.93761154394086366</v>
      </c>
      <c r="G125">
        <f>IF(E125&lt;10000000,$C$26*E125/$F$34+$C$28*E125,$C$27*E125/$F$34+$C$29*E125)*Data_b!$C$104/(E125*Data_b!$C$104)*1000</f>
        <v>1.7233086093756351</v>
      </c>
    </row>
    <row r="126" spans="5:7">
      <c r="E126" s="51">
        <f t="shared" si="1"/>
        <v>9000000</v>
      </c>
      <c r="F126">
        <f>IF(E126&lt;10000000,$C$20*E126/$F$34+$C$22*E126,$C$21*E126/$F$34+$C$23*E126)*Data_b!$C$104/(E126*Data_b!$C$104)*1000</f>
        <v>0.93761154394086366</v>
      </c>
      <c r="G126">
        <f>IF(E126&lt;10000000,$C$26*E126/$F$34+$C$28*E126,$C$27*E126/$F$34+$C$29*E126)*Data_b!$C$104/(E126*Data_b!$C$104)*1000</f>
        <v>1.7233086093756353</v>
      </c>
    </row>
    <row r="127" spans="5:7">
      <c r="E127" s="51">
        <f t="shared" si="1"/>
        <v>9100000</v>
      </c>
      <c r="F127">
        <f>IF(E127&lt;10000000,$C$20*E127/$F$34+$C$22*E127,$C$21*E127/$F$34+$C$23*E127)*Data_b!$C$104/(E127*Data_b!$C$104)*1000</f>
        <v>0.93761154394086366</v>
      </c>
      <c r="G127">
        <f>IF(E127&lt;10000000,$C$26*E127/$F$34+$C$28*E127,$C$27*E127/$F$34+$C$29*E127)*Data_b!$C$104/(E127*Data_b!$C$104)*1000</f>
        <v>1.7233086093756349</v>
      </c>
    </row>
    <row r="128" spans="5:7">
      <c r="E128" s="51">
        <f t="shared" si="1"/>
        <v>9200000</v>
      </c>
      <c r="F128">
        <f>IF(E128&lt;10000000,$C$20*E128/$F$34+$C$22*E128,$C$21*E128/$F$34+$C$23*E128)*Data_b!$C$104/(E128*Data_b!$C$104)*1000</f>
        <v>0.93761154394086388</v>
      </c>
      <c r="G128">
        <f>IF(E128&lt;10000000,$C$26*E128/$F$34+$C$28*E128,$C$27*E128/$F$34+$C$29*E128)*Data_b!$C$104/(E128*Data_b!$C$104)*1000</f>
        <v>1.7233086093756351</v>
      </c>
    </row>
    <row r="129" spans="5:7">
      <c r="E129" s="51">
        <f t="shared" si="1"/>
        <v>9300000</v>
      </c>
      <c r="F129">
        <f>IF(E129&lt;10000000,$C$20*E129/$F$34+$C$22*E129,$C$21*E129/$F$34+$C$23*E129)*Data_b!$C$104/(E129*Data_b!$C$104)*1000</f>
        <v>0.93761154394086355</v>
      </c>
      <c r="G129">
        <f>IF(E129&lt;10000000,$C$26*E129/$F$34+$C$28*E129,$C$27*E129/$F$34+$C$29*E129)*Data_b!$C$104/(E129*Data_b!$C$104)*1000</f>
        <v>1.7233086093756351</v>
      </c>
    </row>
    <row r="130" spans="5:7">
      <c r="E130" s="51">
        <f t="shared" si="1"/>
        <v>9400000</v>
      </c>
      <c r="F130">
        <f>IF(E130&lt;10000000,$C$20*E130/$F$34+$C$22*E130,$C$21*E130/$F$34+$C$23*E130)*Data_b!$C$104/(E130*Data_b!$C$104)*1000</f>
        <v>0.93761154394086377</v>
      </c>
      <c r="G130">
        <f>IF(E130&lt;10000000,$C$26*E130/$F$34+$C$28*E130,$C$27*E130/$F$34+$C$29*E130)*Data_b!$C$104/(E130*Data_b!$C$104)*1000</f>
        <v>1.7233086093756349</v>
      </c>
    </row>
    <row r="131" spans="5:7">
      <c r="E131" s="51">
        <f t="shared" si="1"/>
        <v>9500000</v>
      </c>
      <c r="F131">
        <f>IF(E131&lt;10000000,$C$20*E131/$F$34+$C$22*E131,$C$21*E131/$F$34+$C$23*E131)*Data_b!$C$104/(E131*Data_b!$C$104)*1000</f>
        <v>0.93761154394086355</v>
      </c>
      <c r="G131">
        <f>IF(E131&lt;10000000,$C$26*E131/$F$34+$C$28*E131,$C$27*E131/$F$34+$C$29*E131)*Data_b!$C$104/(E131*Data_b!$C$104)*1000</f>
        <v>1.7233086093756351</v>
      </c>
    </row>
    <row r="132" spans="5:7">
      <c r="E132" s="51">
        <f t="shared" si="1"/>
        <v>9600000</v>
      </c>
      <c r="F132">
        <f>IF(E132&lt;10000000,$C$20*E132/$F$34+$C$22*E132,$C$21*E132/$F$34+$C$23*E132)*Data_b!$C$104/(E132*Data_b!$C$104)*1000</f>
        <v>0.93761154394086377</v>
      </c>
      <c r="G132">
        <f>IF(E132&lt;10000000,$C$26*E132/$F$34+$C$28*E132,$C$27*E132/$F$34+$C$29*E132)*Data_b!$C$104/(E132*Data_b!$C$104)*1000</f>
        <v>1.7233086093756347</v>
      </c>
    </row>
    <row r="133" spans="5:7">
      <c r="E133" s="51">
        <f t="shared" si="1"/>
        <v>9700000</v>
      </c>
      <c r="F133">
        <f>IF(E133&lt;10000000,$C$20*E133/$F$34+$C$22*E133,$C$21*E133/$F$34+$C$23*E133)*Data_b!$C$104/(E133*Data_b!$C$104)*1000</f>
        <v>0.93761154394086377</v>
      </c>
      <c r="G133">
        <f>IF(E133&lt;10000000,$C$26*E133/$F$34+$C$28*E133,$C$27*E133/$F$34+$C$29*E133)*Data_b!$C$104/(E133*Data_b!$C$104)*1000</f>
        <v>1.7233086093756351</v>
      </c>
    </row>
    <row r="134" spans="5:7">
      <c r="E134" s="51">
        <f t="shared" si="1"/>
        <v>9800000</v>
      </c>
      <c r="F134">
        <f>IF(E134&lt;10000000,$C$20*E134/$F$34+$C$22*E134,$C$21*E134/$F$34+$C$23*E134)*Data_b!$C$104/(E134*Data_b!$C$104)*1000</f>
        <v>0.93761154394086366</v>
      </c>
      <c r="G134">
        <f>IF(E134&lt;10000000,$C$26*E134/$F$34+$C$28*E134,$C$27*E134/$F$34+$C$29*E134)*Data_b!$C$104/(E134*Data_b!$C$104)*1000</f>
        <v>1.7233086093756353</v>
      </c>
    </row>
    <row r="135" spans="5:7">
      <c r="E135" s="51">
        <f t="shared" si="1"/>
        <v>9900000</v>
      </c>
      <c r="F135">
        <f>IF(E135&lt;10000000,$C$20*E135/$F$34+$C$22*E135,$C$21*E135/$F$34+$C$23*E135)*Data_b!$C$104/(E135*Data_b!$C$104)*1000</f>
        <v>0.93761154394086377</v>
      </c>
      <c r="G135">
        <f>IF(E135&lt;10000000,$C$26*E135/$F$34+$C$28*E135,$C$27*E135/$F$34+$C$29*E135)*Data_b!$C$104/(E135*Data_b!$C$104)*1000</f>
        <v>1.7233086093756353</v>
      </c>
    </row>
    <row r="136" spans="5:7">
      <c r="E136" s="51">
        <f t="shared" si="1"/>
        <v>10000000</v>
      </c>
      <c r="F136">
        <f>IF(E136&lt;10000000,$C$20*E136/$F$34+$C$22*E136,$C$21*E136/$F$34+$C$23*E136)*Data_b!$C$104/(E136*Data_b!$C$104)*1000</f>
        <v>0.52238840665825814</v>
      </c>
      <c r="G136">
        <f>IF(E136&lt;10000000,$C$26*E136/$F$34+$C$28*E136,$C$27*E136/$F$34+$C$29*E136)*Data_b!$C$104/(E136*Data_b!$C$104)*1000</f>
        <v>1.3080854720930293</v>
      </c>
    </row>
    <row r="137" spans="5:7">
      <c r="E137" s="51">
        <f t="shared" si="1"/>
        <v>10100000</v>
      </c>
      <c r="F137">
        <f>IF(E137&lt;10000000,$C$20*E137/$F$34+$C$22*E137,$C$21*E137/$F$34+$C$23*E137)*Data_b!$C$104/(E137*Data_b!$C$104)*1000</f>
        <v>0.52238840665825814</v>
      </c>
      <c r="G137">
        <f>IF(E137&lt;10000000,$C$26*E137/$F$34+$C$28*E137,$C$27*E137/$F$34+$C$29*E137)*Data_b!$C$104/(E137*Data_b!$C$104)*1000</f>
        <v>1.3080854720930295</v>
      </c>
    </row>
    <row r="138" spans="5:7">
      <c r="E138" s="51">
        <f t="shared" si="1"/>
        <v>10200000</v>
      </c>
      <c r="F138">
        <f>IF(E138&lt;10000000,$C$20*E138/$F$34+$C$22*E138,$C$21*E138/$F$34+$C$23*E138)*Data_b!$C$104/(E138*Data_b!$C$104)*1000</f>
        <v>0.52238840665825803</v>
      </c>
      <c r="G138">
        <f>IF(E138&lt;10000000,$C$26*E138/$F$34+$C$28*E138,$C$27*E138/$F$34+$C$29*E138)*Data_b!$C$104/(E138*Data_b!$C$104)*1000</f>
        <v>1.3080854720930297</v>
      </c>
    </row>
    <row r="139" spans="5:7">
      <c r="E139" s="51">
        <f t="shared" si="1"/>
        <v>10300000</v>
      </c>
      <c r="F139">
        <f>IF(E139&lt;10000000,$C$20*E139/$F$34+$C$22*E139,$C$21*E139/$F$34+$C$23*E139)*Data_b!$C$104/(E139*Data_b!$C$104)*1000</f>
        <v>0.52238840665825803</v>
      </c>
      <c r="G139">
        <f>IF(E139&lt;10000000,$C$26*E139/$F$34+$C$28*E139,$C$27*E139/$F$34+$C$29*E139)*Data_b!$C$104/(E139*Data_b!$C$104)*1000</f>
        <v>1.3080854720930293</v>
      </c>
    </row>
    <row r="140" spans="5:7">
      <c r="E140" s="51">
        <f t="shared" si="1"/>
        <v>10400000</v>
      </c>
      <c r="F140">
        <f>IF(E140&lt;10000000,$C$20*E140/$F$34+$C$22*E140,$C$21*E140/$F$34+$C$23*E140)*Data_b!$C$104/(E140*Data_b!$C$104)*1000</f>
        <v>0.52238840665825803</v>
      </c>
      <c r="G140">
        <f>IF(E140&lt;10000000,$C$26*E140/$F$34+$C$28*E140,$C$27*E140/$F$34+$C$29*E140)*Data_b!$C$104/(E140*Data_b!$C$104)*1000</f>
        <v>1.3080854720930295</v>
      </c>
    </row>
    <row r="141" spans="5:7">
      <c r="E141" s="51">
        <f t="shared" si="1"/>
        <v>10500000</v>
      </c>
      <c r="F141">
        <f>IF(E141&lt;10000000,$C$20*E141/$F$34+$C$22*E141,$C$21*E141/$F$34+$C$23*E141)*Data_b!$C$104/(E141*Data_b!$C$104)*1000</f>
        <v>0.52238840665825814</v>
      </c>
      <c r="G141">
        <f>IF(E141&lt;10000000,$C$26*E141/$F$34+$C$28*E141,$C$27*E141/$F$34+$C$29*E141)*Data_b!$C$104/(E141*Data_b!$C$104)*1000</f>
        <v>1.3080854720930295</v>
      </c>
    </row>
    <row r="142" spans="5:7">
      <c r="E142" s="51">
        <f t="shared" si="1"/>
        <v>10600000</v>
      </c>
      <c r="F142">
        <f>IF(E142&lt;10000000,$C$20*E142/$F$34+$C$22*E142,$C$21*E142/$F$34+$C$23*E142)*Data_b!$C$104/(E142*Data_b!$C$104)*1000</f>
        <v>0.52238840665825803</v>
      </c>
      <c r="G142">
        <f>IF(E142&lt;10000000,$C$26*E142/$F$34+$C$28*E142,$C$27*E142/$F$34+$C$29*E142)*Data_b!$C$104/(E142*Data_b!$C$104)*1000</f>
        <v>1.3080854720930295</v>
      </c>
    </row>
    <row r="143" spans="5:7">
      <c r="E143" s="51">
        <f t="shared" si="1"/>
        <v>10700000</v>
      </c>
      <c r="F143">
        <f>IF(E143&lt;10000000,$C$20*E143/$F$34+$C$22*E143,$C$21*E143/$F$34+$C$23*E143)*Data_b!$C$104/(E143*Data_b!$C$104)*1000</f>
        <v>0.52238840665825803</v>
      </c>
      <c r="G143">
        <f>IF(E143&lt;10000000,$C$26*E143/$F$34+$C$28*E143,$C$27*E143/$F$34+$C$29*E143)*Data_b!$C$104/(E143*Data_b!$C$104)*1000</f>
        <v>1.3080854720930295</v>
      </c>
    </row>
    <row r="144" spans="5:7">
      <c r="E144" s="51">
        <f t="shared" si="1"/>
        <v>10800000</v>
      </c>
      <c r="F144">
        <f>IF(E144&lt;10000000,$C$20*E144/$F$34+$C$22*E144,$C$21*E144/$F$34+$C$23*E144)*Data_b!$C$104/(E144*Data_b!$C$104)*1000</f>
        <v>0.52238840665825814</v>
      </c>
      <c r="G144">
        <f>IF(E144&lt;10000000,$C$26*E144/$F$34+$C$28*E144,$C$27*E144/$F$34+$C$29*E144)*Data_b!$C$104/(E144*Data_b!$C$104)*1000</f>
        <v>1.3080854720930295</v>
      </c>
    </row>
    <row r="145" spans="5:7">
      <c r="E145" s="51">
        <f t="shared" si="1"/>
        <v>10900000</v>
      </c>
      <c r="F145">
        <f>IF(E145&lt;10000000,$C$20*E145/$F$34+$C$22*E145,$C$21*E145/$F$34+$C$23*E145)*Data_b!$C$104/(E145*Data_b!$C$104)*1000</f>
        <v>0.52238840665825803</v>
      </c>
      <c r="G145">
        <f>IF(E145&lt;10000000,$C$26*E145/$F$34+$C$28*E145,$C$27*E145/$F$34+$C$29*E145)*Data_b!$C$104/(E145*Data_b!$C$104)*1000</f>
        <v>1.3080854720930293</v>
      </c>
    </row>
    <row r="146" spans="5:7">
      <c r="E146" s="51">
        <f t="shared" si="1"/>
        <v>11000000</v>
      </c>
      <c r="F146">
        <f>IF(E146&lt;10000000,$C$20*E146/$F$34+$C$22*E146,$C$21*E146/$F$34+$C$23*E146)*Data_b!$C$104/(E146*Data_b!$C$104)*1000</f>
        <v>0.52238840665825803</v>
      </c>
      <c r="G146">
        <f>IF(E146&lt;10000000,$C$26*E146/$F$34+$C$28*E146,$C$27*E146/$F$34+$C$29*E146)*Data_b!$C$104/(E146*Data_b!$C$104)*1000</f>
        <v>1.3080854720930295</v>
      </c>
    </row>
    <row r="147" spans="5:7">
      <c r="E147" s="51">
        <f t="shared" si="1"/>
        <v>11100000</v>
      </c>
      <c r="F147">
        <f>IF(E147&lt;10000000,$C$20*E147/$F$34+$C$22*E147,$C$21*E147/$F$34+$C$23*E147)*Data_b!$C$104/(E147*Data_b!$C$104)*1000</f>
        <v>0.52238840665825814</v>
      </c>
      <c r="G147">
        <f>IF(E147&lt;10000000,$C$26*E147/$F$34+$C$28*E147,$C$27*E147/$F$34+$C$29*E147)*Data_b!$C$104/(E147*Data_b!$C$104)*1000</f>
        <v>1.3080854720930295</v>
      </c>
    </row>
    <row r="148" spans="5:7">
      <c r="E148" s="51">
        <f t="shared" si="1"/>
        <v>11200000</v>
      </c>
      <c r="F148">
        <f>IF(E148&lt;10000000,$C$20*E148/$F$34+$C$22*E148,$C$21*E148/$F$34+$C$23*E148)*Data_b!$C$104/(E148*Data_b!$C$104)*1000</f>
        <v>0.52238840665825803</v>
      </c>
      <c r="G148">
        <f>IF(E148&lt;10000000,$C$26*E148/$F$34+$C$28*E148,$C$27*E148/$F$34+$C$29*E148)*Data_b!$C$104/(E148*Data_b!$C$104)*1000</f>
        <v>1.3080854720930295</v>
      </c>
    </row>
    <row r="149" spans="5:7">
      <c r="E149" s="51">
        <f t="shared" si="1"/>
        <v>11300000</v>
      </c>
      <c r="F149">
        <f>IF(E149&lt;10000000,$C$20*E149/$F$34+$C$22*E149,$C$21*E149/$F$34+$C$23*E149)*Data_b!$C$104/(E149*Data_b!$C$104)*1000</f>
        <v>0.52238840665825803</v>
      </c>
      <c r="G149">
        <f>IF(E149&lt;10000000,$C$26*E149/$F$34+$C$28*E149,$C$27*E149/$F$34+$C$29*E149)*Data_b!$C$104/(E149*Data_b!$C$104)*1000</f>
        <v>1.3080854720930295</v>
      </c>
    </row>
    <row r="150" spans="5:7">
      <c r="E150" s="51">
        <f t="shared" si="1"/>
        <v>11400000</v>
      </c>
      <c r="F150">
        <f>IF(E150&lt;10000000,$C$20*E150/$F$34+$C$22*E150,$C$21*E150/$F$34+$C$23*E150)*Data_b!$C$104/(E150*Data_b!$C$104)*1000</f>
        <v>0.52238840665825803</v>
      </c>
      <c r="G150">
        <f>IF(E150&lt;10000000,$C$26*E150/$F$34+$C$28*E150,$C$27*E150/$F$34+$C$29*E150)*Data_b!$C$104/(E150*Data_b!$C$104)*1000</f>
        <v>1.3080854720930295</v>
      </c>
    </row>
    <row r="151" spans="5:7">
      <c r="E151" s="51">
        <f t="shared" si="1"/>
        <v>11500000</v>
      </c>
      <c r="F151">
        <f>IF(E151&lt;10000000,$C$20*E151/$F$34+$C$22*E151,$C$21*E151/$F$34+$C$23*E151)*Data_b!$C$104/(E151*Data_b!$C$104)*1000</f>
        <v>0.52238840665825803</v>
      </c>
      <c r="G151">
        <f>IF(E151&lt;10000000,$C$26*E151/$F$34+$C$28*E151,$C$27*E151/$F$34+$C$29*E151)*Data_b!$C$104/(E151*Data_b!$C$104)*1000</f>
        <v>1.3080854720930297</v>
      </c>
    </row>
    <row r="152" spans="5:7">
      <c r="E152" s="51">
        <f t="shared" si="1"/>
        <v>11600000</v>
      </c>
      <c r="F152">
        <f>IF(E152&lt;10000000,$C$20*E152/$F$34+$C$22*E152,$C$21*E152/$F$34+$C$23*E152)*Data_b!$C$104/(E152*Data_b!$C$104)*1000</f>
        <v>0.52238840665825814</v>
      </c>
      <c r="G152">
        <f>IF(E152&lt;10000000,$C$26*E152/$F$34+$C$28*E152,$C$27*E152/$F$34+$C$29*E152)*Data_b!$C$104/(E152*Data_b!$C$104)*1000</f>
        <v>1.3080854720930293</v>
      </c>
    </row>
    <row r="153" spans="5:7">
      <c r="E153" s="51">
        <f t="shared" si="1"/>
        <v>11700000</v>
      </c>
      <c r="F153">
        <f>IF(E153&lt;10000000,$C$20*E153/$F$34+$C$22*E153,$C$21*E153/$F$34+$C$23*E153)*Data_b!$C$104/(E153*Data_b!$C$104)*1000</f>
        <v>0.52238840665825803</v>
      </c>
      <c r="G153">
        <f>IF(E153&lt;10000000,$C$26*E153/$F$34+$C$28*E153,$C$27*E153/$F$34+$C$29*E153)*Data_b!$C$104/(E153*Data_b!$C$104)*1000</f>
        <v>1.3080854720930293</v>
      </c>
    </row>
    <row r="154" spans="5:7">
      <c r="E154" s="51">
        <f t="shared" si="1"/>
        <v>11800000</v>
      </c>
      <c r="F154">
        <f>IF(E154&lt;10000000,$C$20*E154/$F$34+$C$22*E154,$C$21*E154/$F$34+$C$23*E154)*Data_b!$C$104/(E154*Data_b!$C$104)*1000</f>
        <v>0.52238840665825803</v>
      </c>
      <c r="G154">
        <f>IF(E154&lt;10000000,$C$26*E154/$F$34+$C$28*E154,$C$27*E154/$F$34+$C$29*E154)*Data_b!$C$104/(E154*Data_b!$C$104)*1000</f>
        <v>1.3080854720930293</v>
      </c>
    </row>
    <row r="155" spans="5:7">
      <c r="E155" s="51">
        <f t="shared" si="1"/>
        <v>11900000</v>
      </c>
      <c r="F155">
        <f>IF(E155&lt;10000000,$C$20*E155/$F$34+$C$22*E155,$C$21*E155/$F$34+$C$23*E155)*Data_b!$C$104/(E155*Data_b!$C$104)*1000</f>
        <v>0.52238840665825803</v>
      </c>
      <c r="G155">
        <f>IF(E155&lt;10000000,$C$26*E155/$F$34+$C$28*E155,$C$27*E155/$F$34+$C$29*E155)*Data_b!$C$104/(E155*Data_b!$C$104)*1000</f>
        <v>1.3080854720930295</v>
      </c>
    </row>
    <row r="156" spans="5:7">
      <c r="E156" s="51">
        <f t="shared" si="1"/>
        <v>12000000</v>
      </c>
      <c r="F156">
        <f>IF(E156&lt;10000000,$C$20*E156/$F$34+$C$22*E156,$C$21*E156/$F$34+$C$23*E156)*Data_b!$C$104/(E156*Data_b!$C$104)*1000</f>
        <v>0.52238840665825803</v>
      </c>
      <c r="G156">
        <f>IF(E156&lt;10000000,$C$26*E156/$F$34+$C$28*E156,$C$27*E156/$F$34+$C$29*E156)*Data_b!$C$104/(E156*Data_b!$C$104)*1000</f>
        <v>1.3080854720930297</v>
      </c>
    </row>
    <row r="157" spans="5:7">
      <c r="E157" s="51">
        <f t="shared" si="1"/>
        <v>12100000</v>
      </c>
      <c r="F157">
        <f>IF(E157&lt;10000000,$C$20*E157/$F$34+$C$22*E157,$C$21*E157/$F$34+$C$23*E157)*Data_b!$C$104/(E157*Data_b!$C$104)*1000</f>
        <v>0.52238840665825814</v>
      </c>
      <c r="G157">
        <f>IF(E157&lt;10000000,$C$26*E157/$F$34+$C$28*E157,$C$27*E157/$F$34+$C$29*E157)*Data_b!$C$104/(E157*Data_b!$C$104)*1000</f>
        <v>1.3080854720930295</v>
      </c>
    </row>
    <row r="158" spans="5:7">
      <c r="E158" s="51">
        <f t="shared" si="1"/>
        <v>12200000</v>
      </c>
      <c r="F158">
        <f>IF(E158&lt;10000000,$C$20*E158/$F$34+$C$22*E158,$C$21*E158/$F$34+$C$23*E158)*Data_b!$C$104/(E158*Data_b!$C$104)*1000</f>
        <v>0.52238840665825803</v>
      </c>
      <c r="G158">
        <f>IF(E158&lt;10000000,$C$26*E158/$F$34+$C$28*E158,$C$27*E158/$F$34+$C$29*E158)*Data_b!$C$104/(E158*Data_b!$C$104)*1000</f>
        <v>1.3080854720930295</v>
      </c>
    </row>
    <row r="159" spans="5:7">
      <c r="E159" s="51">
        <f t="shared" si="1"/>
        <v>12300000</v>
      </c>
      <c r="F159">
        <f>IF(E159&lt;10000000,$C$20*E159/$F$34+$C$22*E159,$C$21*E159/$F$34+$C$23*E159)*Data_b!$C$104/(E159*Data_b!$C$104)*1000</f>
        <v>0.52238840665825814</v>
      </c>
      <c r="G159">
        <f>IF(E159&lt;10000000,$C$26*E159/$F$34+$C$28*E159,$C$27*E159/$F$34+$C$29*E159)*Data_b!$C$104/(E159*Data_b!$C$104)*1000</f>
        <v>1.3080854720930295</v>
      </c>
    </row>
    <row r="160" spans="5:7">
      <c r="E160" s="51">
        <f t="shared" si="1"/>
        <v>12400000</v>
      </c>
      <c r="F160">
        <f>IF(E160&lt;10000000,$C$20*E160/$F$34+$C$22*E160,$C$21*E160/$F$34+$C$23*E160)*Data_b!$C$104/(E160*Data_b!$C$104)*1000</f>
        <v>0.52238840665825803</v>
      </c>
      <c r="G160">
        <f>IF(E160&lt;10000000,$C$26*E160/$F$34+$C$28*E160,$C$27*E160/$F$34+$C$29*E160)*Data_b!$C$104/(E160*Data_b!$C$104)*1000</f>
        <v>1.3080854720930295</v>
      </c>
    </row>
    <row r="161" spans="5:7">
      <c r="E161" s="51">
        <f t="shared" si="1"/>
        <v>12500000</v>
      </c>
      <c r="F161">
        <f>IF(E161&lt;10000000,$C$20*E161/$F$34+$C$22*E161,$C$21*E161/$F$34+$C$23*E161)*Data_b!$C$104/(E161*Data_b!$C$104)*1000</f>
        <v>0.52238840665825803</v>
      </c>
      <c r="G161">
        <f>IF(E161&lt;10000000,$C$26*E161/$F$34+$C$28*E161,$C$27*E161/$F$34+$C$29*E161)*Data_b!$C$104/(E161*Data_b!$C$104)*1000</f>
        <v>1.3080854720930293</v>
      </c>
    </row>
    <row r="162" spans="5:7">
      <c r="E162" s="51">
        <f t="shared" si="1"/>
        <v>12600000</v>
      </c>
      <c r="F162">
        <f>IF(E162&lt;10000000,$C$20*E162/$F$34+$C$22*E162,$C$21*E162/$F$34+$C$23*E162)*Data_b!$C$104/(E162*Data_b!$C$104)*1000</f>
        <v>0.52238840665825814</v>
      </c>
      <c r="G162">
        <f>IF(E162&lt;10000000,$C$26*E162/$F$34+$C$28*E162,$C$27*E162/$F$34+$C$29*E162)*Data_b!$C$104/(E162*Data_b!$C$104)*1000</f>
        <v>1.3080854720930293</v>
      </c>
    </row>
    <row r="163" spans="5:7">
      <c r="E163" s="51">
        <f t="shared" si="1"/>
        <v>12700000</v>
      </c>
      <c r="F163">
        <f>IF(E163&lt;10000000,$C$20*E163/$F$34+$C$22*E163,$C$21*E163/$F$34+$C$23*E163)*Data_b!$C$104/(E163*Data_b!$C$104)*1000</f>
        <v>0.52238840665825803</v>
      </c>
      <c r="G163">
        <f>IF(E163&lt;10000000,$C$26*E163/$F$34+$C$28*E163,$C$27*E163/$F$34+$C$29*E163)*Data_b!$C$104/(E163*Data_b!$C$104)*1000</f>
        <v>1.3080854720930295</v>
      </c>
    </row>
    <row r="164" spans="5:7">
      <c r="E164" s="51">
        <f t="shared" si="1"/>
        <v>12800000</v>
      </c>
      <c r="F164">
        <f>IF(E164&lt;10000000,$C$20*E164/$F$34+$C$22*E164,$C$21*E164/$F$34+$C$23*E164)*Data_b!$C$104/(E164*Data_b!$C$104)*1000</f>
        <v>0.52238840665825814</v>
      </c>
      <c r="G164">
        <f>IF(E164&lt;10000000,$C$26*E164/$F$34+$C$28*E164,$C$27*E164/$F$34+$C$29*E164)*Data_b!$C$104/(E164*Data_b!$C$104)*1000</f>
        <v>1.3080854720930293</v>
      </c>
    </row>
    <row r="165" spans="5:7">
      <c r="E165" s="51">
        <f t="shared" si="1"/>
        <v>12900000</v>
      </c>
      <c r="F165">
        <f>IF(E165&lt;10000000,$C$20*E165/$F$34+$C$22*E165,$C$21*E165/$F$34+$C$23*E165)*Data_b!$C$104/(E165*Data_b!$C$104)*1000</f>
        <v>0.52238840665825803</v>
      </c>
      <c r="G165">
        <f>IF(E165&lt;10000000,$C$26*E165/$F$34+$C$28*E165,$C$27*E165/$F$34+$C$29*E165)*Data_b!$C$104/(E165*Data_b!$C$104)*1000</f>
        <v>1.3080854720930295</v>
      </c>
    </row>
    <row r="166" spans="5:7">
      <c r="E166" s="51">
        <f t="shared" si="1"/>
        <v>13000000</v>
      </c>
      <c r="F166">
        <f>IF(E166&lt;10000000,$C$20*E166/$F$34+$C$22*E166,$C$21*E166/$F$34+$C$23*E166)*Data_b!$C$104/(E166*Data_b!$C$104)*1000</f>
        <v>0.52238840665825803</v>
      </c>
      <c r="G166">
        <f>IF(E166&lt;10000000,$C$26*E166/$F$34+$C$28*E166,$C$27*E166/$F$34+$C$29*E166)*Data_b!$C$104/(E166*Data_b!$C$104)*1000</f>
        <v>1.3080854720930295</v>
      </c>
    </row>
    <row r="167" spans="5:7">
      <c r="E167" s="51">
        <f t="shared" ref="E167:E199" si="2">+E166+$E$37</f>
        <v>13100000</v>
      </c>
      <c r="F167">
        <f>IF(E167&lt;10000000,$C$20*E167/$F$34+$C$22*E167,$C$21*E167/$F$34+$C$23*E167)*Data_b!$C$104/(E167*Data_b!$C$104)*1000</f>
        <v>0.52238840665825803</v>
      </c>
      <c r="G167">
        <f>IF(E167&lt;10000000,$C$26*E167/$F$34+$C$28*E167,$C$27*E167/$F$34+$C$29*E167)*Data_b!$C$104/(E167*Data_b!$C$104)*1000</f>
        <v>1.3080854720930297</v>
      </c>
    </row>
    <row r="168" spans="5:7">
      <c r="E168" s="51">
        <f t="shared" si="2"/>
        <v>13200000</v>
      </c>
      <c r="F168">
        <f>IF(E168&lt;10000000,$C$20*E168/$F$34+$C$22*E168,$C$21*E168/$F$34+$C$23*E168)*Data_b!$C$104/(E168*Data_b!$C$104)*1000</f>
        <v>0.52238840665825803</v>
      </c>
      <c r="G168">
        <f>IF(E168&lt;10000000,$C$26*E168/$F$34+$C$28*E168,$C$27*E168/$F$34+$C$29*E168)*Data_b!$C$104/(E168*Data_b!$C$104)*1000</f>
        <v>1.3080854720930295</v>
      </c>
    </row>
    <row r="169" spans="5:7">
      <c r="E169" s="51">
        <f t="shared" si="2"/>
        <v>13300000</v>
      </c>
      <c r="F169">
        <f>IF(E169&lt;10000000,$C$20*E169/$F$34+$C$22*E169,$C$21*E169/$F$34+$C$23*E169)*Data_b!$C$104/(E169*Data_b!$C$104)*1000</f>
        <v>0.52238840665825814</v>
      </c>
      <c r="G169">
        <f>IF(E169&lt;10000000,$C$26*E169/$F$34+$C$28*E169,$C$27*E169/$F$34+$C$29*E169)*Data_b!$C$104/(E169*Data_b!$C$104)*1000</f>
        <v>1.3080854720930293</v>
      </c>
    </row>
    <row r="170" spans="5:7">
      <c r="E170" s="51">
        <f t="shared" si="2"/>
        <v>13400000</v>
      </c>
      <c r="F170">
        <f>IF(E170&lt;10000000,$C$20*E170/$F$34+$C$22*E170,$C$21*E170/$F$34+$C$23*E170)*Data_b!$C$104/(E170*Data_b!$C$104)*1000</f>
        <v>0.52238840665825803</v>
      </c>
      <c r="G170">
        <f>IF(E170&lt;10000000,$C$26*E170/$F$34+$C$28*E170,$C$27*E170/$F$34+$C$29*E170)*Data_b!$C$104/(E170*Data_b!$C$104)*1000</f>
        <v>1.3080854720930295</v>
      </c>
    </row>
    <row r="171" spans="5:7">
      <c r="E171" s="51">
        <f t="shared" si="2"/>
        <v>13500000</v>
      </c>
      <c r="F171">
        <f>IF(E171&lt;10000000,$C$20*E171/$F$34+$C$22*E171,$C$21*E171/$F$34+$C$23*E171)*Data_b!$C$104/(E171*Data_b!$C$104)*1000</f>
        <v>0.52238840665825803</v>
      </c>
      <c r="G171">
        <f>IF(E171&lt;10000000,$C$26*E171/$F$34+$C$28*E171,$C$27*E171/$F$34+$C$29*E171)*Data_b!$C$104/(E171*Data_b!$C$104)*1000</f>
        <v>1.3080854720930295</v>
      </c>
    </row>
    <row r="172" spans="5:7">
      <c r="E172" s="51">
        <f t="shared" si="2"/>
        <v>13600000</v>
      </c>
      <c r="F172">
        <f>IF(E172&lt;10000000,$C$20*E172/$F$34+$C$22*E172,$C$21*E172/$F$34+$C$23*E172)*Data_b!$C$104/(E172*Data_b!$C$104)*1000</f>
        <v>0.52238840665825803</v>
      </c>
      <c r="G172">
        <f>IF(E172&lt;10000000,$C$26*E172/$F$34+$C$28*E172,$C$27*E172/$F$34+$C$29*E172)*Data_b!$C$104/(E172*Data_b!$C$104)*1000</f>
        <v>1.3080854720930295</v>
      </c>
    </row>
    <row r="173" spans="5:7">
      <c r="E173" s="51">
        <f t="shared" si="2"/>
        <v>13700000</v>
      </c>
      <c r="F173">
        <f>IF(E173&lt;10000000,$C$20*E173/$F$34+$C$22*E173,$C$21*E173/$F$34+$C$23*E173)*Data_b!$C$104/(E173*Data_b!$C$104)*1000</f>
        <v>0.52238840665825803</v>
      </c>
      <c r="G173">
        <f>IF(E173&lt;10000000,$C$26*E173/$F$34+$C$28*E173,$C$27*E173/$F$34+$C$29*E173)*Data_b!$C$104/(E173*Data_b!$C$104)*1000</f>
        <v>1.3080854720930295</v>
      </c>
    </row>
    <row r="174" spans="5:7">
      <c r="E174" s="51">
        <f t="shared" si="2"/>
        <v>13800000</v>
      </c>
      <c r="F174">
        <f>IF(E174&lt;10000000,$C$20*E174/$F$34+$C$22*E174,$C$21*E174/$F$34+$C$23*E174)*Data_b!$C$104/(E174*Data_b!$C$104)*1000</f>
        <v>0.52238840665825814</v>
      </c>
      <c r="G174">
        <f>IF(E174&lt;10000000,$C$26*E174/$F$34+$C$28*E174,$C$27*E174/$F$34+$C$29*E174)*Data_b!$C$104/(E174*Data_b!$C$104)*1000</f>
        <v>1.3080854720930297</v>
      </c>
    </row>
    <row r="175" spans="5:7">
      <c r="E175" s="51">
        <f t="shared" si="2"/>
        <v>13900000</v>
      </c>
      <c r="F175">
        <f>IF(E175&lt;10000000,$C$20*E175/$F$34+$C$22*E175,$C$21*E175/$F$34+$C$23*E175)*Data_b!$C$104/(E175*Data_b!$C$104)*1000</f>
        <v>0.52238840665825803</v>
      </c>
      <c r="G175">
        <f>IF(E175&lt;10000000,$C$26*E175/$F$34+$C$28*E175,$C$27*E175/$F$34+$C$29*E175)*Data_b!$C$104/(E175*Data_b!$C$104)*1000</f>
        <v>1.3080854720930293</v>
      </c>
    </row>
    <row r="176" spans="5:7">
      <c r="E176" s="51">
        <f t="shared" si="2"/>
        <v>14000000</v>
      </c>
      <c r="F176">
        <f>IF(E176&lt;10000000,$C$20*E176/$F$34+$C$22*E176,$C$21*E176/$F$34+$C$23*E176)*Data_b!$C$104/(E176*Data_b!$C$104)*1000</f>
        <v>0.52238840665825803</v>
      </c>
      <c r="G176">
        <f>IF(E176&lt;10000000,$C$26*E176/$F$34+$C$28*E176,$C$27*E176/$F$34+$C$29*E176)*Data_b!$C$104/(E176*Data_b!$C$104)*1000</f>
        <v>1.3080854720930295</v>
      </c>
    </row>
    <row r="177" spans="5:7">
      <c r="E177" s="51">
        <f t="shared" si="2"/>
        <v>14100000</v>
      </c>
      <c r="F177">
        <f>IF(E177&lt;10000000,$C$20*E177/$F$34+$C$22*E177,$C$21*E177/$F$34+$C$23*E177)*Data_b!$C$104/(E177*Data_b!$C$104)*1000</f>
        <v>0.52238840665825803</v>
      </c>
      <c r="G177">
        <f>IF(E177&lt;10000000,$C$26*E177/$F$34+$C$28*E177,$C$27*E177/$F$34+$C$29*E177)*Data_b!$C$104/(E177*Data_b!$C$104)*1000</f>
        <v>1.3080854720930295</v>
      </c>
    </row>
    <row r="178" spans="5:7">
      <c r="E178" s="51">
        <f t="shared" si="2"/>
        <v>14200000</v>
      </c>
      <c r="F178">
        <f>IF(E178&lt;10000000,$C$20*E178/$F$34+$C$22*E178,$C$21*E178/$F$34+$C$23*E178)*Data_b!$C$104/(E178*Data_b!$C$104)*1000</f>
        <v>0.52238840665825814</v>
      </c>
      <c r="G178">
        <f>IF(E178&lt;10000000,$C$26*E178/$F$34+$C$28*E178,$C$27*E178/$F$34+$C$29*E178)*Data_b!$C$104/(E178*Data_b!$C$104)*1000</f>
        <v>1.3080854720930295</v>
      </c>
    </row>
    <row r="179" spans="5:7">
      <c r="E179" s="51">
        <f t="shared" si="2"/>
        <v>14300000</v>
      </c>
      <c r="F179">
        <f>IF(E179&lt;10000000,$C$20*E179/$F$34+$C$22*E179,$C$21*E179/$F$34+$C$23*E179)*Data_b!$C$104/(E179*Data_b!$C$104)*1000</f>
        <v>0.52238840665825814</v>
      </c>
      <c r="G179">
        <f>IF(E179&lt;10000000,$C$26*E179/$F$34+$C$28*E179,$C$27*E179/$F$34+$C$29*E179)*Data_b!$C$104/(E179*Data_b!$C$104)*1000</f>
        <v>1.3080854720930295</v>
      </c>
    </row>
    <row r="180" spans="5:7">
      <c r="E180" s="51">
        <f t="shared" si="2"/>
        <v>14400000</v>
      </c>
      <c r="F180">
        <f>IF(E180&lt;10000000,$C$20*E180/$F$34+$C$22*E180,$C$21*E180/$F$34+$C$23*E180)*Data_b!$C$104/(E180*Data_b!$C$104)*1000</f>
        <v>0.52238840665825814</v>
      </c>
      <c r="G180">
        <f>IF(E180&lt;10000000,$C$26*E180/$F$34+$C$28*E180,$C$27*E180/$F$34+$C$29*E180)*Data_b!$C$104/(E180*Data_b!$C$104)*1000</f>
        <v>1.3080854720930297</v>
      </c>
    </row>
    <row r="181" spans="5:7">
      <c r="E181" s="51">
        <f t="shared" si="2"/>
        <v>14500000</v>
      </c>
      <c r="F181">
        <f>IF(E181&lt;10000000,$C$20*E181/$F$34+$C$22*E181,$C$21*E181/$F$34+$C$23*E181)*Data_b!$C$104/(E181*Data_b!$C$104)*1000</f>
        <v>0.52238840665825803</v>
      </c>
      <c r="G181">
        <f>IF(E181&lt;10000000,$C$26*E181/$F$34+$C$28*E181,$C$27*E181/$F$34+$C$29*E181)*Data_b!$C$104/(E181*Data_b!$C$104)*1000</f>
        <v>1.3080854720930295</v>
      </c>
    </row>
    <row r="182" spans="5:7">
      <c r="E182" s="51">
        <f t="shared" si="2"/>
        <v>14600000</v>
      </c>
      <c r="F182">
        <f>IF(E182&lt;10000000,$C$20*E182/$F$34+$C$22*E182,$C$21*E182/$F$34+$C$23*E182)*Data_b!$C$104/(E182*Data_b!$C$104)*1000</f>
        <v>0.52238840665825803</v>
      </c>
      <c r="G182">
        <f>IF(E182&lt;10000000,$C$26*E182/$F$34+$C$28*E182,$C$27*E182/$F$34+$C$29*E182)*Data_b!$C$104/(E182*Data_b!$C$104)*1000</f>
        <v>1.3080854720930293</v>
      </c>
    </row>
    <row r="183" spans="5:7">
      <c r="E183" s="51">
        <f t="shared" si="2"/>
        <v>14700000</v>
      </c>
      <c r="F183">
        <f>IF(E183&lt;10000000,$C$20*E183/$F$34+$C$22*E183,$C$21*E183/$F$34+$C$23*E183)*Data_b!$C$104/(E183*Data_b!$C$104)*1000</f>
        <v>0.52238840665825814</v>
      </c>
      <c r="G183">
        <f>IF(E183&lt;10000000,$C$26*E183/$F$34+$C$28*E183,$C$27*E183/$F$34+$C$29*E183)*Data_b!$C$104/(E183*Data_b!$C$104)*1000</f>
        <v>1.3080854720930295</v>
      </c>
    </row>
    <row r="184" spans="5:7">
      <c r="E184" s="51">
        <f t="shared" si="2"/>
        <v>14800000</v>
      </c>
      <c r="F184">
        <f>IF(E184&lt;10000000,$C$20*E184/$F$34+$C$22*E184,$C$21*E184/$F$34+$C$23*E184)*Data_b!$C$104/(E184*Data_b!$C$104)*1000</f>
        <v>0.52238840665825803</v>
      </c>
      <c r="G184">
        <f>IF(E184&lt;10000000,$C$26*E184/$F$34+$C$28*E184,$C$27*E184/$F$34+$C$29*E184)*Data_b!$C$104/(E184*Data_b!$C$104)*1000</f>
        <v>1.3080854720930295</v>
      </c>
    </row>
    <row r="185" spans="5:7">
      <c r="E185" s="51">
        <f t="shared" si="2"/>
        <v>14900000</v>
      </c>
      <c r="F185">
        <f>IF(E185&lt;10000000,$C$20*E185/$F$34+$C$22*E185,$C$21*E185/$F$34+$C$23*E185)*Data_b!$C$104/(E185*Data_b!$C$104)*1000</f>
        <v>0.52238840665825803</v>
      </c>
      <c r="G185">
        <f>IF(E185&lt;10000000,$C$26*E185/$F$34+$C$28*E185,$C$27*E185/$F$34+$C$29*E185)*Data_b!$C$104/(E185*Data_b!$C$104)*1000</f>
        <v>1.3080854720930297</v>
      </c>
    </row>
    <row r="186" spans="5:7">
      <c r="E186" s="51">
        <f t="shared" si="2"/>
        <v>15000000</v>
      </c>
      <c r="F186">
        <f>IF(E186&lt;10000000,$C$20*E186/$F$34+$C$22*E186,$C$21*E186/$F$34+$C$23*E186)*Data_b!$C$104/(E186*Data_b!$C$104)*1000</f>
        <v>0.52238840665825803</v>
      </c>
      <c r="G186">
        <f>IF(E186&lt;10000000,$C$26*E186/$F$34+$C$28*E186,$C$27*E186/$F$34+$C$29*E186)*Data_b!$C$104/(E186*Data_b!$C$104)*1000</f>
        <v>1.3080854720930295</v>
      </c>
    </row>
    <row r="187" spans="5:7">
      <c r="E187" s="51">
        <f t="shared" si="2"/>
        <v>15100000</v>
      </c>
      <c r="F187">
        <f>IF(E187&lt;10000000,$C$20*E187/$F$34+$C$22*E187,$C$21*E187/$F$34+$C$23*E187)*Data_b!$C$104/(E187*Data_b!$C$104)*1000</f>
        <v>0.52238840665825803</v>
      </c>
      <c r="G187">
        <f>IF(E187&lt;10000000,$C$26*E187/$F$34+$C$28*E187,$C$27*E187/$F$34+$C$29*E187)*Data_b!$C$104/(E187*Data_b!$C$104)*1000</f>
        <v>1.3080854720930297</v>
      </c>
    </row>
    <row r="188" spans="5:7">
      <c r="E188" s="51">
        <f t="shared" si="2"/>
        <v>15200000</v>
      </c>
      <c r="F188">
        <f>IF(E188&lt;10000000,$C$20*E188/$F$34+$C$22*E188,$C$21*E188/$F$34+$C$23*E188)*Data_b!$C$104/(E188*Data_b!$C$104)*1000</f>
        <v>0.52238840665825803</v>
      </c>
      <c r="G188">
        <f>IF(E188&lt;10000000,$C$26*E188/$F$34+$C$28*E188,$C$27*E188/$F$34+$C$29*E188)*Data_b!$C$104/(E188*Data_b!$C$104)*1000</f>
        <v>1.3080854720930295</v>
      </c>
    </row>
    <row r="189" spans="5:7">
      <c r="E189" s="51">
        <f t="shared" si="2"/>
        <v>15300000</v>
      </c>
      <c r="F189">
        <f>IF(E189&lt;10000000,$C$20*E189/$F$34+$C$22*E189,$C$21*E189/$F$34+$C$23*E189)*Data_b!$C$104/(E189*Data_b!$C$104)*1000</f>
        <v>0.52238840665825814</v>
      </c>
      <c r="G189">
        <f>IF(E189&lt;10000000,$C$26*E189/$F$34+$C$28*E189,$C$27*E189/$F$34+$C$29*E189)*Data_b!$C$104/(E189*Data_b!$C$104)*1000</f>
        <v>1.3080854720930293</v>
      </c>
    </row>
    <row r="190" spans="5:7">
      <c r="E190" s="51">
        <f t="shared" si="2"/>
        <v>15400000</v>
      </c>
      <c r="F190">
        <f>IF(E190&lt;10000000,$C$20*E190/$F$34+$C$22*E190,$C$21*E190/$F$34+$C$23*E190)*Data_b!$C$104/(E190*Data_b!$C$104)*1000</f>
        <v>0.52238840665825814</v>
      </c>
      <c r="G190">
        <f>IF(E190&lt;10000000,$C$26*E190/$F$34+$C$28*E190,$C$27*E190/$F$34+$C$29*E190)*Data_b!$C$104/(E190*Data_b!$C$104)*1000</f>
        <v>1.3080854720930297</v>
      </c>
    </row>
    <row r="191" spans="5:7">
      <c r="E191" s="51">
        <f t="shared" si="2"/>
        <v>15500000</v>
      </c>
      <c r="F191">
        <f>IF(E191&lt;10000000,$C$20*E191/$F$34+$C$22*E191,$C$21*E191/$F$34+$C$23*E191)*Data_b!$C$104/(E191*Data_b!$C$104)*1000</f>
        <v>0.52238840665825803</v>
      </c>
      <c r="G191">
        <f>IF(E191&lt;10000000,$C$26*E191/$F$34+$C$28*E191,$C$27*E191/$F$34+$C$29*E191)*Data_b!$C$104/(E191*Data_b!$C$104)*1000</f>
        <v>1.3080854720930295</v>
      </c>
    </row>
    <row r="192" spans="5:7">
      <c r="E192" s="51">
        <f t="shared" si="2"/>
        <v>15600000</v>
      </c>
      <c r="F192">
        <f>IF(E192&lt;10000000,$C$20*E192/$F$34+$C$22*E192,$C$21*E192/$F$34+$C$23*E192)*Data_b!$C$104/(E192*Data_b!$C$104)*1000</f>
        <v>0.52238840665825814</v>
      </c>
      <c r="G192">
        <f>IF(E192&lt;10000000,$C$26*E192/$F$34+$C$28*E192,$C$27*E192/$F$34+$C$29*E192)*Data_b!$C$104/(E192*Data_b!$C$104)*1000</f>
        <v>1.3080854720930297</v>
      </c>
    </row>
    <row r="193" spans="5:7">
      <c r="E193" s="51">
        <f t="shared" si="2"/>
        <v>15700000</v>
      </c>
      <c r="F193">
        <f>IF(E193&lt;10000000,$C$20*E193/$F$34+$C$22*E193,$C$21*E193/$F$34+$C$23*E193)*Data_b!$C$104/(E193*Data_b!$C$104)*1000</f>
        <v>0.52238840665825803</v>
      </c>
      <c r="G193">
        <f>IF(E193&lt;10000000,$C$26*E193/$F$34+$C$28*E193,$C$27*E193/$F$34+$C$29*E193)*Data_b!$C$104/(E193*Data_b!$C$104)*1000</f>
        <v>1.3080854720930295</v>
      </c>
    </row>
    <row r="194" spans="5:7">
      <c r="E194" s="51">
        <f t="shared" si="2"/>
        <v>15800000</v>
      </c>
      <c r="F194">
        <f>IF(E194&lt;10000000,$C$20*E194/$F$34+$C$22*E194,$C$21*E194/$F$34+$C$23*E194)*Data_b!$C$104/(E194*Data_b!$C$104)*1000</f>
        <v>0.52238840665825803</v>
      </c>
      <c r="G194">
        <f>IF(E194&lt;10000000,$C$26*E194/$F$34+$C$28*E194,$C$27*E194/$F$34+$C$29*E194)*Data_b!$C$104/(E194*Data_b!$C$104)*1000</f>
        <v>1.3080854720930293</v>
      </c>
    </row>
    <row r="195" spans="5:7">
      <c r="E195" s="51">
        <f t="shared" si="2"/>
        <v>15900000</v>
      </c>
      <c r="F195">
        <f>IF(E195&lt;10000000,$C$20*E195/$F$34+$C$22*E195,$C$21*E195/$F$34+$C$23*E195)*Data_b!$C$104/(E195*Data_b!$C$104)*1000</f>
        <v>0.52238840665825803</v>
      </c>
      <c r="G195">
        <f>IF(E195&lt;10000000,$C$26*E195/$F$34+$C$28*E195,$C$27*E195/$F$34+$C$29*E195)*Data_b!$C$104/(E195*Data_b!$C$104)*1000</f>
        <v>1.3080854720930295</v>
      </c>
    </row>
    <row r="196" spans="5:7">
      <c r="E196" s="51">
        <f t="shared" si="2"/>
        <v>16000000</v>
      </c>
      <c r="F196">
        <f>IF(E196&lt;10000000,$C$20*E196/$F$34+$C$22*E196,$C$21*E196/$F$34+$C$23*E196)*Data_b!$C$104/(E196*Data_b!$C$104)*1000</f>
        <v>0.52238840665825803</v>
      </c>
      <c r="G196">
        <f>IF(E196&lt;10000000,$C$26*E196/$F$34+$C$28*E196,$C$27*E196/$F$34+$C$29*E196)*Data_b!$C$104/(E196*Data_b!$C$104)*1000</f>
        <v>1.3080854720930295</v>
      </c>
    </row>
    <row r="197" spans="5:7">
      <c r="E197" s="51">
        <f t="shared" si="2"/>
        <v>16100000</v>
      </c>
      <c r="F197">
        <f>IF(E197&lt;10000000,$C$20*E197/$F$34+$C$22*E197,$C$21*E197/$F$34+$C$23*E197)*Data_b!$C$104/(E197*Data_b!$C$104)*1000</f>
        <v>0.52238840665825803</v>
      </c>
      <c r="G197">
        <f>IF(E197&lt;10000000,$C$26*E197/$F$34+$C$28*E197,$C$27*E197/$F$34+$C$29*E197)*Data_b!$C$104/(E197*Data_b!$C$104)*1000</f>
        <v>1.3080854720930297</v>
      </c>
    </row>
    <row r="198" spans="5:7">
      <c r="E198" s="51">
        <f t="shared" si="2"/>
        <v>16200000</v>
      </c>
      <c r="F198">
        <f>IF(E198&lt;10000000,$C$20*E198/$F$34+$C$22*E198,$C$21*E198/$F$34+$C$23*E198)*Data_b!$C$104/(E198*Data_b!$C$104)*1000</f>
        <v>0.52238840665825803</v>
      </c>
      <c r="G198">
        <f>IF(E198&lt;10000000,$C$26*E198/$F$34+$C$28*E198,$C$27*E198/$F$34+$C$29*E198)*Data_b!$C$104/(E198*Data_b!$C$104)*1000</f>
        <v>1.3080854720930293</v>
      </c>
    </row>
    <row r="199" spans="5:7">
      <c r="E199" s="51">
        <f t="shared" si="2"/>
        <v>16300000</v>
      </c>
      <c r="F199">
        <f>IF(E199&lt;10000000,$C$20*E199/$F$34+$C$22*E199,$C$21*E199/$F$34+$C$23*E199)*Data_b!$C$104/(E199*Data_b!$C$104)*1000</f>
        <v>0.52238840665825803</v>
      </c>
      <c r="G199">
        <f>IF(E199&lt;10000000,$C$26*E199/$F$34+$C$28*E199,$C$27*E199/$F$34+$C$29*E199)*Data_b!$C$104/(E199*Data_b!$C$104)*1000</f>
        <v>1.3080854720930293</v>
      </c>
    </row>
  </sheetData>
  <mergeCells count="1">
    <mergeCell ref="A2:L2"/>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zoomScale="80" zoomScaleNormal="80" workbookViewId="0">
      <selection activeCell="Z16" sqref="Z16"/>
    </sheetView>
  </sheetViews>
  <sheetFormatPr defaultRowHeight="14.4"/>
  <cols>
    <col min="1" max="1" width="43.33203125" customWidth="1"/>
    <col min="2" max="24" width="7.44140625" customWidth="1"/>
    <col min="25" max="25" width="36.33203125" bestFit="1" customWidth="1"/>
    <col min="26" max="26" width="18.88671875" customWidth="1"/>
  </cols>
  <sheetData>
    <row r="1" spans="1:27">
      <c r="A1" s="2" t="s">
        <v>265</v>
      </c>
    </row>
    <row r="2" spans="1:27" ht="15" thickBot="1"/>
    <row r="3" spans="1:27" ht="15" thickBot="1">
      <c r="A3" s="356" t="s">
        <v>272</v>
      </c>
      <c r="B3" s="353">
        <v>1997</v>
      </c>
      <c r="C3" s="354">
        <v>1998</v>
      </c>
      <c r="D3" s="354">
        <v>1999</v>
      </c>
      <c r="E3" s="354">
        <v>2000</v>
      </c>
      <c r="F3" s="354">
        <v>2001</v>
      </c>
      <c r="G3" s="354">
        <v>2002</v>
      </c>
      <c r="H3" s="354">
        <v>2003</v>
      </c>
      <c r="I3" s="354">
        <v>2004</v>
      </c>
      <c r="J3" s="354">
        <v>2005</v>
      </c>
      <c r="K3" s="354">
        <v>2006</v>
      </c>
      <c r="L3" s="354">
        <v>2007</v>
      </c>
      <c r="M3" s="354">
        <v>2008</v>
      </c>
      <c r="N3" s="354">
        <v>2009</v>
      </c>
      <c r="O3" s="354">
        <v>2010</v>
      </c>
      <c r="P3" s="354">
        <v>2011</v>
      </c>
      <c r="Q3" s="354">
        <v>2012</v>
      </c>
      <c r="R3" s="354">
        <v>2013</v>
      </c>
      <c r="S3" s="354">
        <v>2014</v>
      </c>
      <c r="T3" s="354">
        <v>2015</v>
      </c>
      <c r="U3" s="354">
        <v>2016</v>
      </c>
      <c r="V3" s="354">
        <v>2017</v>
      </c>
      <c r="W3" s="354">
        <v>2018</v>
      </c>
      <c r="X3" s="355">
        <v>2019</v>
      </c>
    </row>
    <row r="4" spans="1:27">
      <c r="A4" s="333" t="s">
        <v>268</v>
      </c>
      <c r="B4" s="334"/>
      <c r="C4" s="335"/>
      <c r="D4" s="335"/>
      <c r="E4" s="335"/>
      <c r="F4" s="335"/>
      <c r="G4" s="335"/>
      <c r="H4" s="335"/>
      <c r="I4" s="335"/>
      <c r="J4" s="335"/>
      <c r="K4" s="335"/>
      <c r="L4" s="335"/>
      <c r="M4" s="335"/>
      <c r="N4" s="335"/>
      <c r="O4" s="335"/>
      <c r="P4" s="335"/>
      <c r="Q4" s="335"/>
      <c r="R4" s="335"/>
      <c r="S4" s="335"/>
      <c r="T4" s="335"/>
      <c r="U4" s="335"/>
      <c r="V4" s="335"/>
      <c r="W4" s="335"/>
      <c r="X4" s="336"/>
    </row>
    <row r="5" spans="1:27">
      <c r="A5" s="86" t="s">
        <v>266</v>
      </c>
      <c r="B5" s="337">
        <f>Data_c!B5</f>
        <v>490303.28705000022</v>
      </c>
      <c r="C5" s="338">
        <f>Data_c!C5</f>
        <v>36082.873780000002</v>
      </c>
      <c r="D5" s="338">
        <f>Data_c!D5</f>
        <v>9572.5088300000007</v>
      </c>
      <c r="E5" s="338">
        <f>Data_c!E5</f>
        <v>1060.4058</v>
      </c>
      <c r="F5" s="338">
        <f>Data_c!F5</f>
        <v>2702.7231700000002</v>
      </c>
      <c r="G5" s="338">
        <f>Data_c!G5</f>
        <v>3361.4064499999995</v>
      </c>
      <c r="H5" s="338">
        <f>Data_c!H5</f>
        <v>76318.194570000007</v>
      </c>
      <c r="I5" s="338">
        <f>Data_c!I5</f>
        <v>2067.1401299999998</v>
      </c>
      <c r="J5" s="338">
        <f>Data_c!J5</f>
        <v>2249.11519</v>
      </c>
      <c r="K5" s="338">
        <f>Data_c!K5</f>
        <v>1300.7606199999998</v>
      </c>
      <c r="L5" s="338">
        <f>Data_c!L5</f>
        <v>94.619339999999994</v>
      </c>
      <c r="M5" s="338">
        <f>Data_c!M5</f>
        <v>102.32692</v>
      </c>
      <c r="N5" s="338">
        <f>Data_c!N5</f>
        <v>29735.887029999882</v>
      </c>
      <c r="O5" s="338">
        <f>Data_c!O5</f>
        <v>44053.859089999984</v>
      </c>
      <c r="P5" s="338">
        <f>Data_c!P5</f>
        <v>10219.296</v>
      </c>
      <c r="Q5" s="338">
        <f>Data_c!Q5</f>
        <v>2705.9021700000003</v>
      </c>
      <c r="R5" s="338">
        <f>Data_c!R5</f>
        <v>42058.149000000005</v>
      </c>
      <c r="S5" s="338">
        <f>Data_c!S5</f>
        <v>4900.6977699999961</v>
      </c>
      <c r="T5" s="338">
        <f>Data_c!T5</f>
        <v>3727.8942099999999</v>
      </c>
      <c r="U5" s="338">
        <f>Data_c!U5</f>
        <v>3813.3129099999987</v>
      </c>
      <c r="V5" s="338">
        <f>Data_c!V5</f>
        <v>5930.4133936116014</v>
      </c>
      <c r="W5" s="338">
        <f>Data_c!W5</f>
        <v>2927.0704271456002</v>
      </c>
      <c r="X5" s="339">
        <f>Data_c!X5</f>
        <v>7388.7422084957007</v>
      </c>
    </row>
    <row r="6" spans="1:27" ht="15" thickBot="1">
      <c r="A6" s="88" t="s">
        <v>267</v>
      </c>
      <c r="B6" s="340">
        <f>Data_c!B6</f>
        <v>114589.56979999997</v>
      </c>
      <c r="C6" s="341">
        <f>Data_c!C6</f>
        <v>8259.4614800000018</v>
      </c>
      <c r="D6" s="341">
        <f>Data_c!D6</f>
        <v>2168.7632700000004</v>
      </c>
      <c r="E6" s="341">
        <f>Data_c!E6</f>
        <v>11270.897239999997</v>
      </c>
      <c r="F6" s="341">
        <f>Data_c!F6</f>
        <v>1653.9328400000002</v>
      </c>
      <c r="G6" s="341">
        <f>Data_c!G6</f>
        <v>4453.4566100000002</v>
      </c>
      <c r="H6" s="341">
        <f>Data_c!H6</f>
        <v>6540.987520000006</v>
      </c>
      <c r="I6" s="341">
        <f>Data_c!I6</f>
        <v>9497.1439499999997</v>
      </c>
      <c r="J6" s="341">
        <f>Data_c!J6</f>
        <v>4149.1977499999994</v>
      </c>
      <c r="K6" s="341">
        <f>Data_c!K6</f>
        <v>1441.1622100000002</v>
      </c>
      <c r="L6" s="341">
        <f>Data_c!L6</f>
        <v>1124.62238</v>
      </c>
      <c r="M6" s="341">
        <f>Data_c!M6</f>
        <v>8221.3579399999999</v>
      </c>
      <c r="N6" s="341">
        <f>Data_c!N6</f>
        <v>5578.0861199999999</v>
      </c>
      <c r="O6" s="341">
        <f>Data_c!O6</f>
        <v>6.0149999999994179</v>
      </c>
      <c r="P6" s="341">
        <f>Data_c!P6</f>
        <v>0</v>
      </c>
      <c r="Q6" s="341">
        <f>Data_c!Q6</f>
        <v>210.80183</v>
      </c>
      <c r="R6" s="341">
        <f>Data_c!R6</f>
        <v>0</v>
      </c>
      <c r="S6" s="341">
        <f>Data_c!S6</f>
        <v>0</v>
      </c>
      <c r="T6" s="341">
        <f>Data_c!T6</f>
        <v>0</v>
      </c>
      <c r="U6" s="341">
        <f>Data_c!U6</f>
        <v>0</v>
      </c>
      <c r="V6" s="341">
        <f>Data_c!V6</f>
        <v>0</v>
      </c>
      <c r="W6" s="341">
        <f>Data_c!W6</f>
        <v>0</v>
      </c>
      <c r="X6" s="342">
        <f>Data_c!X6</f>
        <v>0</v>
      </c>
    </row>
    <row r="7" spans="1:27">
      <c r="A7" s="333" t="s">
        <v>270</v>
      </c>
      <c r="B7" s="343"/>
      <c r="C7" s="344"/>
      <c r="D7" s="344"/>
      <c r="E7" s="344"/>
      <c r="F7" s="344"/>
      <c r="G7" s="344"/>
      <c r="H7" s="344"/>
      <c r="I7" s="344"/>
      <c r="J7" s="344"/>
      <c r="K7" s="344"/>
      <c r="L7" s="344"/>
      <c r="M7" s="344"/>
      <c r="N7" s="344"/>
      <c r="O7" s="344"/>
      <c r="P7" s="344"/>
      <c r="Q7" s="344"/>
      <c r="R7" s="344"/>
      <c r="S7" s="344"/>
      <c r="T7" s="344"/>
      <c r="U7" s="344"/>
      <c r="V7" s="344"/>
      <c r="W7" s="344"/>
      <c r="X7" s="345"/>
    </row>
    <row r="8" spans="1:27">
      <c r="A8" s="86" t="s">
        <v>240</v>
      </c>
      <c r="B8" s="346">
        <f>0.5*B5/(B5+B6)</f>
        <v>0.40528110184940103</v>
      </c>
      <c r="C8" s="347">
        <f t="shared" ref="C8:X8" si="0">0.5*C5/(C5+C6)</f>
        <v>0.40686708952549644</v>
      </c>
      <c r="D8" s="347">
        <f t="shared" si="0"/>
        <v>0.40764359894188973</v>
      </c>
      <c r="E8" s="347">
        <f t="shared" si="0"/>
        <v>4.2996502338815294E-2</v>
      </c>
      <c r="F8" s="347">
        <f t="shared" si="0"/>
        <v>0.3101832189408959</v>
      </c>
      <c r="G8" s="347">
        <f t="shared" si="0"/>
        <v>0.21506496173971343</v>
      </c>
      <c r="H8" s="347">
        <f t="shared" si="0"/>
        <v>0.46052949501181828</v>
      </c>
      <c r="I8" s="347">
        <f t="shared" si="0"/>
        <v>8.9376052840791156E-2</v>
      </c>
      <c r="J8" s="347">
        <f t="shared" si="0"/>
        <v>0.17575845469665322</v>
      </c>
      <c r="K8" s="347">
        <f t="shared" si="0"/>
        <v>0.23719861948120541</v>
      </c>
      <c r="L8" s="347">
        <f t="shared" si="0"/>
        <v>3.8802535398805085E-2</v>
      </c>
      <c r="M8" s="347">
        <f t="shared" si="0"/>
        <v>6.1467319895626132E-3</v>
      </c>
      <c r="N8" s="347">
        <f t="shared" si="0"/>
        <v>0.42102154441378653</v>
      </c>
      <c r="O8" s="347">
        <f t="shared" si="0"/>
        <v>0.49993174061292467</v>
      </c>
      <c r="P8" s="347">
        <f t="shared" si="0"/>
        <v>0.5</v>
      </c>
      <c r="Q8" s="347">
        <f t="shared" si="0"/>
        <v>0.4638630059820949</v>
      </c>
      <c r="R8" s="347">
        <f t="shared" si="0"/>
        <v>0.5</v>
      </c>
      <c r="S8" s="347">
        <f t="shared" si="0"/>
        <v>0.5</v>
      </c>
      <c r="T8" s="347">
        <f t="shared" si="0"/>
        <v>0.5</v>
      </c>
      <c r="U8" s="347">
        <f t="shared" si="0"/>
        <v>0.5</v>
      </c>
      <c r="V8" s="347">
        <f t="shared" si="0"/>
        <v>0.5</v>
      </c>
      <c r="W8" s="347">
        <f t="shared" si="0"/>
        <v>0.5</v>
      </c>
      <c r="X8" s="348">
        <f t="shared" si="0"/>
        <v>0.5</v>
      </c>
    </row>
    <row r="9" spans="1:27" ht="15" thickBot="1">
      <c r="A9" s="88" t="s">
        <v>241</v>
      </c>
      <c r="B9" s="349">
        <f>1-B8</f>
        <v>0.59471889815059897</v>
      </c>
      <c r="C9" s="350">
        <f t="shared" ref="C9:X9" si="1">1-C8</f>
        <v>0.59313291047450356</v>
      </c>
      <c r="D9" s="350">
        <f t="shared" si="1"/>
        <v>0.59235640105811027</v>
      </c>
      <c r="E9" s="350">
        <f t="shared" si="1"/>
        <v>0.95700349766118475</v>
      </c>
      <c r="F9" s="350">
        <f t="shared" si="1"/>
        <v>0.68981678105910404</v>
      </c>
      <c r="G9" s="350">
        <f t="shared" si="1"/>
        <v>0.78493503826028654</v>
      </c>
      <c r="H9" s="350">
        <f t="shared" si="1"/>
        <v>0.53947050498818172</v>
      </c>
      <c r="I9" s="350">
        <f t="shared" si="1"/>
        <v>0.9106239471592088</v>
      </c>
      <c r="J9" s="350">
        <f t="shared" si="1"/>
        <v>0.82424154530334681</v>
      </c>
      <c r="K9" s="350">
        <f t="shared" si="1"/>
        <v>0.76280138051879454</v>
      </c>
      <c r="L9" s="350">
        <f t="shared" si="1"/>
        <v>0.96119746460119493</v>
      </c>
      <c r="M9" s="350">
        <f t="shared" si="1"/>
        <v>0.99385326801043739</v>
      </c>
      <c r="N9" s="350">
        <f t="shared" si="1"/>
        <v>0.57897845558621341</v>
      </c>
      <c r="O9" s="350">
        <f t="shared" si="1"/>
        <v>0.50006825938707533</v>
      </c>
      <c r="P9" s="350">
        <f t="shared" si="1"/>
        <v>0.5</v>
      </c>
      <c r="Q9" s="350">
        <f t="shared" si="1"/>
        <v>0.53613699401790504</v>
      </c>
      <c r="R9" s="350">
        <f t="shared" si="1"/>
        <v>0.5</v>
      </c>
      <c r="S9" s="350">
        <f t="shared" si="1"/>
        <v>0.5</v>
      </c>
      <c r="T9" s="350">
        <f t="shared" si="1"/>
        <v>0.5</v>
      </c>
      <c r="U9" s="350">
        <f t="shared" si="1"/>
        <v>0.5</v>
      </c>
      <c r="V9" s="350">
        <f t="shared" si="1"/>
        <v>0.5</v>
      </c>
      <c r="W9" s="350">
        <f t="shared" si="1"/>
        <v>0.5</v>
      </c>
      <c r="X9" s="351">
        <f t="shared" si="1"/>
        <v>0.5</v>
      </c>
    </row>
    <row r="10" spans="1:27">
      <c r="A10" s="333" t="s">
        <v>271</v>
      </c>
      <c r="B10" s="343"/>
      <c r="C10" s="344"/>
      <c r="D10" s="344"/>
      <c r="E10" s="344"/>
      <c r="F10" s="344"/>
      <c r="G10" s="344"/>
      <c r="H10" s="344"/>
      <c r="I10" s="344"/>
      <c r="J10" s="344"/>
      <c r="K10" s="344"/>
      <c r="L10" s="344"/>
      <c r="M10" s="344"/>
      <c r="N10" s="344"/>
      <c r="O10" s="344"/>
      <c r="P10" s="344"/>
      <c r="Q10" s="344"/>
      <c r="R10" s="344"/>
      <c r="S10" s="344"/>
      <c r="T10" s="344"/>
      <c r="U10" s="344"/>
      <c r="V10" s="344"/>
      <c r="W10" s="344"/>
      <c r="X10" s="345"/>
    </row>
    <row r="11" spans="1:27">
      <c r="A11" s="86" t="s">
        <v>240</v>
      </c>
      <c r="B11" s="346">
        <f>0.5*SUM($B5:B5)/(SUM($B5:B5)+SUM($B6:B6))</f>
        <v>0.40528110184940103</v>
      </c>
      <c r="C11" s="347">
        <f>0.5*SUM($B5:C5)/(SUM($B5:C5)+SUM($B6:C6))</f>
        <v>0.40538942376125414</v>
      </c>
      <c r="D11" s="347">
        <f>0.5*SUM($B5:D5)/(SUM($B5:D5)+SUM($B6:D6))</f>
        <v>0.40542946585895351</v>
      </c>
      <c r="E11" s="347">
        <f>0.5*SUM($B5:E5)/(SUM($B5:E5)+SUM($B6:E6))</f>
        <v>0.39879168307633989</v>
      </c>
      <c r="F11" s="347">
        <f>0.5*SUM($B5:F5)/(SUM($B5:F5)+SUM($B6:F6))</f>
        <v>0.39822202561084175</v>
      </c>
      <c r="G11" s="347">
        <f>0.5*SUM($B5:G5)/(SUM($B5:G5)+SUM($B6:G6))</f>
        <v>0.39613392841930045</v>
      </c>
      <c r="H11" s="347">
        <f>0.5*SUM($B5:H5)/(SUM($B5:H5)+SUM($B6:H6))</f>
        <v>0.40307847720535822</v>
      </c>
      <c r="I11" s="347">
        <f>0.5*SUM($B5:I5)/(SUM($B5:I5)+SUM($B6:I6))</f>
        <v>0.39842694348483437</v>
      </c>
      <c r="J11" s="347">
        <f>0.5*SUM($B5:J5)/(SUM($B5:J5)+SUM($B6:J6))</f>
        <v>0.39661503868681086</v>
      </c>
      <c r="K11" s="347">
        <f>0.5*SUM($B5:K5)/(SUM($B5:K5)+SUM($B6:K6))</f>
        <v>0.39606106694407905</v>
      </c>
      <c r="L11" s="347">
        <f>0.5*SUM($B5:L5)/(SUM($B5:L5)+SUM($B6:L6))</f>
        <v>0.39550987711118396</v>
      </c>
      <c r="M11" s="347">
        <f>0.5*SUM($B5:M5)/(SUM($B5:M5)+SUM($B6:M6))</f>
        <v>0.39145153341157074</v>
      </c>
      <c r="N11" s="347">
        <f>0.5*SUM($B5:N5)/(SUM($B5:N5)+SUM($B6:N6))</f>
        <v>0.39270376355288239</v>
      </c>
      <c r="O11" s="347">
        <f>0.5*SUM($B5:O5)/(SUM($B5:O5)+SUM($B6:O6))</f>
        <v>0.39808493404866685</v>
      </c>
      <c r="P11" s="347">
        <f>0.5*SUM($B5:P5)/(SUM($B5:P5)+SUM($B6:P6))</f>
        <v>0.39925755821306408</v>
      </c>
      <c r="Q11" s="347">
        <f>0.5*SUM($B5:Q5)/(SUM($B5:Q5)+SUM($B6:Q6))</f>
        <v>0.39946902254265521</v>
      </c>
      <c r="R11" s="347">
        <f>0.5*SUM($B5:R5)/(SUM($B5:R5)+SUM($B6:R6))</f>
        <v>0.40400005089586988</v>
      </c>
      <c r="S11" s="347">
        <f>0.5*SUM($B5:S5)/(SUM($B5:S5)+SUM($B6:S6))</f>
        <v>0.40450158538230185</v>
      </c>
      <c r="T11" s="347">
        <f>0.5*SUM($B5:T5)/(SUM($B5:T5)+SUM($B6:T6))</f>
        <v>0.40487960046090099</v>
      </c>
      <c r="U11" s="347">
        <f>0.5*SUM($B5:U5)/(SUM($B5:U5)+SUM($B6:U6))</f>
        <v>0.4052631933675539</v>
      </c>
      <c r="V11" s="347">
        <f>0.5*SUM($B5:V5)/(SUM($B5:V5)+SUM($B6:V6))</f>
        <v>0.40585364312036504</v>
      </c>
      <c r="W11" s="347">
        <f>0.5*SUM($B5:W5)/(SUM($B5:W5)+SUM($B6:W6))</f>
        <v>0.40614236653627894</v>
      </c>
      <c r="X11" s="348">
        <f>0.5*SUM($B5:X5)/(SUM($B5:X5)+SUM($B6:X6))</f>
        <v>0.40686336835121462</v>
      </c>
    </row>
    <row r="12" spans="1:27" ht="15" thickBot="1">
      <c r="A12" s="88" t="s">
        <v>241</v>
      </c>
      <c r="B12" s="349">
        <f>1-B11</f>
        <v>0.59471889815059897</v>
      </c>
      <c r="C12" s="350">
        <f t="shared" ref="C12" si="2">1-C11</f>
        <v>0.59461057623874591</v>
      </c>
      <c r="D12" s="350">
        <f t="shared" ref="D12" si="3">1-D11</f>
        <v>0.59457053414104655</v>
      </c>
      <c r="E12" s="350">
        <f t="shared" ref="E12" si="4">1-E11</f>
        <v>0.60120831692366017</v>
      </c>
      <c r="F12" s="350">
        <f t="shared" ref="F12" si="5">1-F11</f>
        <v>0.60177797438915825</v>
      </c>
      <c r="G12" s="350">
        <f t="shared" ref="G12" si="6">1-G11</f>
        <v>0.6038660715806996</v>
      </c>
      <c r="H12" s="350">
        <f t="shared" ref="H12" si="7">1-H11</f>
        <v>0.59692152279464183</v>
      </c>
      <c r="I12" s="350">
        <f t="shared" ref="I12" si="8">1-I11</f>
        <v>0.60157305651516557</v>
      </c>
      <c r="J12" s="350">
        <f t="shared" ref="J12" si="9">1-J11</f>
        <v>0.60338496131318919</v>
      </c>
      <c r="K12" s="350">
        <f t="shared" ref="K12" si="10">1-K11</f>
        <v>0.60393893305592095</v>
      </c>
      <c r="L12" s="350">
        <f t="shared" ref="L12" si="11">1-L11</f>
        <v>0.60449012288881598</v>
      </c>
      <c r="M12" s="350">
        <f t="shared" ref="M12" si="12">1-M11</f>
        <v>0.60854846658842932</v>
      </c>
      <c r="N12" s="350">
        <f t="shared" ref="N12" si="13">1-N11</f>
        <v>0.60729623644711761</v>
      </c>
      <c r="O12" s="350">
        <f t="shared" ref="O12" si="14">1-O11</f>
        <v>0.60191506595133315</v>
      </c>
      <c r="P12" s="350">
        <f t="shared" ref="P12" si="15">1-P11</f>
        <v>0.60074244178693592</v>
      </c>
      <c r="Q12" s="350">
        <f t="shared" ref="Q12" si="16">1-Q11</f>
        <v>0.60053097745734485</v>
      </c>
      <c r="R12" s="350">
        <f t="shared" ref="R12" si="17">1-R11</f>
        <v>0.59599994910413012</v>
      </c>
      <c r="S12" s="350">
        <f t="shared" ref="S12" si="18">1-S11</f>
        <v>0.59549841461769815</v>
      </c>
      <c r="T12" s="350">
        <f t="shared" ref="T12" si="19">1-T11</f>
        <v>0.59512039953909901</v>
      </c>
      <c r="U12" s="350">
        <f t="shared" ref="U12" si="20">1-U11</f>
        <v>0.5947368066324461</v>
      </c>
      <c r="V12" s="350">
        <f t="shared" ref="V12" si="21">1-V11</f>
        <v>0.59414635687963502</v>
      </c>
      <c r="W12" s="350">
        <f t="shared" ref="W12" si="22">1-W11</f>
        <v>0.59385763346372111</v>
      </c>
      <c r="X12" s="351">
        <f t="shared" ref="X12" si="23">1-X11</f>
        <v>0.59313663164878538</v>
      </c>
    </row>
    <row r="13" spans="1:27">
      <c r="A13" s="352" t="s">
        <v>269</v>
      </c>
    </row>
    <row r="14" spans="1:27" ht="15" thickBot="1"/>
    <row r="15" spans="1:27" ht="15" thickBot="1">
      <c r="Y15" s="184" t="s">
        <v>480</v>
      </c>
      <c r="Z15" s="602" t="s">
        <v>142</v>
      </c>
      <c r="AA15" s="603" t="s">
        <v>179</v>
      </c>
    </row>
    <row r="16" spans="1:27">
      <c r="Y16" s="490" t="s">
        <v>481</v>
      </c>
      <c r="Z16" s="606">
        <f>SUM(CAA_RPM!Y21:Y23,CAA_RPM!Y28:Y30)-CAA_RPM!M11</f>
        <v>37136000</v>
      </c>
      <c r="AA16" s="609">
        <f>Z16/Z$18</f>
        <v>0.40552280270451863</v>
      </c>
    </row>
    <row r="17" spans="25:27" ht="15" thickBot="1">
      <c r="Y17" s="604" t="s">
        <v>482</v>
      </c>
      <c r="Z17" s="607">
        <f>SUM(CAA_RPM!Y41:Y55)</f>
        <v>54439614.866370149</v>
      </c>
      <c r="AA17" s="610">
        <f t="shared" ref="AA17:AA18" si="24">Z17/Z$18</f>
        <v>0.59447719729548143</v>
      </c>
    </row>
    <row r="18" spans="25:27" ht="15" thickBot="1">
      <c r="Y18" s="605" t="s">
        <v>483</v>
      </c>
      <c r="Z18" s="608">
        <f>Z16+Z17</f>
        <v>91575614.866370142</v>
      </c>
      <c r="AA18" s="611">
        <f t="shared" si="24"/>
        <v>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U33"/>
  <sheetViews>
    <sheetView zoomScale="70" zoomScaleNormal="70" workbookViewId="0">
      <selection activeCell="H30" sqref="H30"/>
    </sheetView>
  </sheetViews>
  <sheetFormatPr defaultRowHeight="14.4"/>
  <cols>
    <col min="1" max="1" width="43.44140625" customWidth="1"/>
    <col min="2" max="2" width="18.44140625" bestFit="1" customWidth="1"/>
    <col min="3" max="3" width="12.44140625" bestFit="1" customWidth="1"/>
    <col min="4" max="7" width="8.88671875" style="70"/>
    <col min="8" max="8" width="11.109375" style="70" bestFit="1" customWidth="1"/>
    <col min="9" max="21" width="8.88671875" style="70"/>
  </cols>
  <sheetData>
    <row r="1" spans="1:3" ht="15" thickBot="1"/>
    <row r="2" spans="1:3" ht="15" thickBot="1">
      <c r="A2" s="90" t="s">
        <v>175</v>
      </c>
      <c r="B2" s="144"/>
      <c r="C2" s="145"/>
    </row>
    <row r="3" spans="1:3" ht="15" thickBot="1">
      <c r="A3" s="94" t="s">
        <v>265</v>
      </c>
      <c r="B3" s="214"/>
      <c r="C3" s="95"/>
    </row>
    <row r="4" spans="1:3" ht="15" thickBot="1">
      <c r="A4" s="258" t="s">
        <v>104</v>
      </c>
      <c r="B4" s="259"/>
      <c r="C4" s="260">
        <v>0.4</v>
      </c>
    </row>
    <row r="5" spans="1:3" ht="15" thickBot="1">
      <c r="A5" s="94" t="s">
        <v>486</v>
      </c>
      <c r="B5" s="214"/>
      <c r="C5" s="95"/>
    </row>
    <row r="6" spans="1:3">
      <c r="A6" s="81" t="s">
        <v>2</v>
      </c>
      <c r="B6" s="66" t="s">
        <v>172</v>
      </c>
      <c r="C6" s="123">
        <v>0</v>
      </c>
    </row>
    <row r="7" spans="1:3">
      <c r="A7" s="118"/>
      <c r="B7" s="67" t="s">
        <v>173</v>
      </c>
      <c r="C7" s="124">
        <v>0.95</v>
      </c>
    </row>
    <row r="8" spans="1:3" ht="15" thickBot="1">
      <c r="A8" s="82" t="s">
        <v>3</v>
      </c>
      <c r="B8" s="83" t="s">
        <v>173</v>
      </c>
      <c r="C8" s="125">
        <v>0.95</v>
      </c>
    </row>
    <row r="9" spans="1:3" ht="15" thickBot="1">
      <c r="A9" s="94" t="s">
        <v>487</v>
      </c>
      <c r="B9" s="214"/>
      <c r="C9" s="95"/>
    </row>
    <row r="11" spans="1:3" ht="15" thickBot="1"/>
    <row r="12" spans="1:3" ht="15" thickBot="1">
      <c r="A12" s="90" t="s">
        <v>124</v>
      </c>
      <c r="B12" s="144"/>
      <c r="C12" s="145"/>
    </row>
    <row r="13" spans="1:3" ht="15" thickBot="1">
      <c r="A13" s="94" t="s">
        <v>491</v>
      </c>
      <c r="B13" s="241" t="s">
        <v>488</v>
      </c>
      <c r="C13" s="242" t="s">
        <v>489</v>
      </c>
    </row>
    <row r="14" spans="1:3">
      <c r="A14" s="512">
        <v>3</v>
      </c>
      <c r="B14" s="9" t="s">
        <v>36</v>
      </c>
      <c r="C14" s="513">
        <v>57.743000000000002</v>
      </c>
    </row>
    <row r="15" spans="1:3">
      <c r="A15" s="514" t="s">
        <v>37</v>
      </c>
      <c r="B15" s="10" t="s">
        <v>38</v>
      </c>
      <c r="C15" s="515">
        <v>217.11699999999999</v>
      </c>
    </row>
    <row r="16" spans="1:3">
      <c r="A16" s="514">
        <v>3</v>
      </c>
      <c r="B16" s="10" t="s">
        <v>39</v>
      </c>
      <c r="C16" s="516">
        <v>85.395999999999987</v>
      </c>
    </row>
    <row r="17" spans="1:3">
      <c r="A17" s="514">
        <v>3</v>
      </c>
      <c r="B17" s="10" t="s">
        <v>40</v>
      </c>
      <c r="C17" s="516">
        <v>5.0599999999999996</v>
      </c>
    </row>
    <row r="18" spans="1:3">
      <c r="A18" s="514">
        <v>3</v>
      </c>
      <c r="B18" s="10" t="s">
        <v>41</v>
      </c>
      <c r="C18" s="516">
        <v>77.573999999999998</v>
      </c>
    </row>
    <row r="19" spans="1:3">
      <c r="A19" s="514">
        <v>4</v>
      </c>
      <c r="B19" s="10" t="s">
        <v>42</v>
      </c>
      <c r="C19" s="516">
        <v>51.468000000000004</v>
      </c>
    </row>
    <row r="20" spans="1:3">
      <c r="A20" s="514">
        <v>4</v>
      </c>
      <c r="B20" s="10" t="s">
        <v>43</v>
      </c>
      <c r="C20" s="516">
        <v>20.238000000000003</v>
      </c>
    </row>
    <row r="21" spans="1:3">
      <c r="A21" s="514" t="s">
        <v>44</v>
      </c>
      <c r="B21" s="10" t="s">
        <v>45</v>
      </c>
      <c r="C21" s="516">
        <v>81.393000000000001</v>
      </c>
    </row>
    <row r="22" spans="1:3">
      <c r="A22" s="514">
        <v>2</v>
      </c>
      <c r="B22" s="10" t="s">
        <v>46</v>
      </c>
      <c r="C22" s="516">
        <v>57.841000000000001</v>
      </c>
    </row>
    <row r="23" spans="1:3">
      <c r="A23" s="514">
        <v>2</v>
      </c>
      <c r="B23" s="10" t="s">
        <v>47</v>
      </c>
      <c r="C23" s="516">
        <v>77.475000000000009</v>
      </c>
    </row>
    <row r="24" spans="1:3">
      <c r="A24" s="514" t="s">
        <v>48</v>
      </c>
      <c r="B24" s="10" t="s">
        <v>49</v>
      </c>
      <c r="C24" s="516">
        <v>123.67399999999999</v>
      </c>
    </row>
    <row r="25" spans="1:3">
      <c r="A25" s="514">
        <v>2</v>
      </c>
      <c r="B25" s="10" t="s">
        <v>50</v>
      </c>
      <c r="C25" s="517">
        <v>77.989999999999995</v>
      </c>
    </row>
    <row r="26" spans="1:3">
      <c r="A26" s="514">
        <v>2</v>
      </c>
      <c r="B26" s="10" t="s">
        <v>51</v>
      </c>
      <c r="C26" s="516">
        <v>35.974000000000004</v>
      </c>
    </row>
    <row r="27" spans="1:3">
      <c r="A27" s="514">
        <v>2</v>
      </c>
      <c r="B27" s="10" t="s">
        <v>52</v>
      </c>
      <c r="C27" s="516">
        <v>33.549999999999997</v>
      </c>
    </row>
    <row r="28" spans="1:3">
      <c r="A28" s="514">
        <v>7</v>
      </c>
      <c r="B28" s="10" t="s">
        <v>53</v>
      </c>
      <c r="C28" s="516">
        <v>45.941000000000003</v>
      </c>
    </row>
    <row r="29" spans="1:3">
      <c r="A29" s="514">
        <v>7</v>
      </c>
      <c r="B29" s="10" t="s">
        <v>54</v>
      </c>
      <c r="C29" s="516">
        <v>5.1099999999999994</v>
      </c>
    </row>
    <row r="30" spans="1:3">
      <c r="A30" s="514" t="s">
        <v>55</v>
      </c>
      <c r="B30" s="10" t="s">
        <v>56</v>
      </c>
      <c r="C30" s="516">
        <v>124.952</v>
      </c>
    </row>
    <row r="31" spans="1:3">
      <c r="A31" s="514">
        <v>1</v>
      </c>
      <c r="B31" s="10" t="s">
        <v>57</v>
      </c>
      <c r="C31" s="516">
        <v>105.91000000000001</v>
      </c>
    </row>
    <row r="32" spans="1:3" ht="15" thickBot="1">
      <c r="A32" s="518">
        <v>1</v>
      </c>
      <c r="B32" s="11" t="s">
        <v>58</v>
      </c>
      <c r="C32" s="519">
        <v>90.234000000000009</v>
      </c>
    </row>
    <row r="33" spans="1:3" ht="15" thickBot="1">
      <c r="A33" s="488" t="s">
        <v>490</v>
      </c>
      <c r="B33" s="259"/>
      <c r="C33" s="511">
        <f>SUM(C14:C32)</f>
        <v>1374.6399999999999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130"/>
  <sheetViews>
    <sheetView topLeftCell="A18" zoomScale="70" zoomScaleNormal="70" workbookViewId="0">
      <selection activeCell="I51" sqref="I51"/>
    </sheetView>
  </sheetViews>
  <sheetFormatPr defaultRowHeight="14.4"/>
  <cols>
    <col min="1" max="1" width="30.88671875" customWidth="1"/>
    <col min="2" max="2" width="14" customWidth="1"/>
    <col min="3" max="3" width="15" customWidth="1"/>
    <col min="4" max="4" width="17.44140625" bestFit="1" customWidth="1"/>
    <col min="5" max="6" width="14" customWidth="1"/>
  </cols>
  <sheetData>
    <row r="1" spans="1:8">
      <c r="A1" s="2" t="s">
        <v>559</v>
      </c>
    </row>
    <row r="4" spans="1:8">
      <c r="A4" s="12" t="s">
        <v>115</v>
      </c>
      <c r="B4" s="13"/>
      <c r="C4" s="13"/>
      <c r="D4" s="13"/>
      <c r="E4" s="13"/>
      <c r="F4" s="13"/>
      <c r="G4" s="13"/>
      <c r="H4" s="13"/>
    </row>
    <row r="5" spans="1:8">
      <c r="A5" t="s">
        <v>116</v>
      </c>
    </row>
    <row r="6" spans="1:8">
      <c r="A6" s="110" t="s">
        <v>560</v>
      </c>
    </row>
    <row r="7" spans="1:8">
      <c r="A7" s="111" t="s">
        <v>137</v>
      </c>
    </row>
    <row r="8" spans="1:8" ht="15" thickBot="1"/>
    <row r="9" spans="1:8">
      <c r="A9" s="113" t="s">
        <v>162</v>
      </c>
      <c r="B9" s="521" t="s">
        <v>137</v>
      </c>
    </row>
    <row r="10" spans="1:8">
      <c r="A10" s="130" t="s">
        <v>565</v>
      </c>
      <c r="B10" s="522">
        <v>142061928</v>
      </c>
    </row>
    <row r="11" spans="1:8">
      <c r="A11" s="130" t="s">
        <v>566</v>
      </c>
      <c r="B11" s="522">
        <v>19167987</v>
      </c>
    </row>
    <row r="12" spans="1:8">
      <c r="A12" s="130" t="s">
        <v>172</v>
      </c>
      <c r="B12" s="522">
        <v>199063256</v>
      </c>
    </row>
    <row r="13" spans="1:8" ht="15" thickBot="1">
      <c r="A13" s="149" t="s">
        <v>564</v>
      </c>
      <c r="B13" s="330">
        <v>72755519</v>
      </c>
    </row>
    <row r="14" spans="1:8" ht="15" thickBot="1"/>
    <row r="15" spans="1:8">
      <c r="A15" s="113" t="s">
        <v>163</v>
      </c>
      <c r="B15" s="521" t="s">
        <v>137</v>
      </c>
    </row>
    <row r="16" spans="1:8">
      <c r="A16" s="130" t="s">
        <v>565</v>
      </c>
      <c r="B16" s="522">
        <v>0</v>
      </c>
    </row>
    <row r="17" spans="1:3">
      <c r="A17" s="130" t="s">
        <v>566</v>
      </c>
      <c r="B17" s="522">
        <v>16184186.1160981</v>
      </c>
    </row>
    <row r="18" spans="1:3">
      <c r="A18" s="130" t="s">
        <v>172</v>
      </c>
      <c r="B18" s="522">
        <v>0</v>
      </c>
    </row>
    <row r="19" spans="1:3">
      <c r="A19" s="130" t="s">
        <v>564</v>
      </c>
      <c r="B19" s="522">
        <v>28083000</v>
      </c>
    </row>
    <row r="20" spans="1:3">
      <c r="A20" s="130" t="s">
        <v>567</v>
      </c>
      <c r="B20" s="522">
        <v>134459792</v>
      </c>
    </row>
    <row r="21" spans="1:3">
      <c r="A21" s="130" t="s">
        <v>536</v>
      </c>
      <c r="B21" s="522">
        <v>93165215</v>
      </c>
    </row>
    <row r="22" spans="1:3" ht="15" thickBot="1">
      <c r="A22" s="149" t="s">
        <v>568</v>
      </c>
      <c r="B22" s="330">
        <v>52863905</v>
      </c>
    </row>
    <row r="23" spans="1:3" ht="15" thickBot="1"/>
    <row r="24" spans="1:3">
      <c r="A24" s="113" t="s">
        <v>569</v>
      </c>
      <c r="B24" s="114"/>
      <c r="C24" s="521" t="s">
        <v>137</v>
      </c>
    </row>
    <row r="25" spans="1:3">
      <c r="A25" s="130" t="s">
        <v>24</v>
      </c>
      <c r="B25" s="29" t="s">
        <v>14</v>
      </c>
      <c r="C25" s="522">
        <v>66304565</v>
      </c>
    </row>
    <row r="26" spans="1:3">
      <c r="A26" s="130" t="s">
        <v>25</v>
      </c>
      <c r="B26" s="29" t="s">
        <v>15</v>
      </c>
      <c r="C26" s="522">
        <v>79306360</v>
      </c>
    </row>
    <row r="27" spans="1:3">
      <c r="A27" s="130" t="s">
        <v>26</v>
      </c>
      <c r="B27" s="29" t="s">
        <v>31</v>
      </c>
      <c r="C27" s="522">
        <v>68813757</v>
      </c>
    </row>
    <row r="28" spans="1:3">
      <c r="A28" s="130" t="s">
        <v>27</v>
      </c>
      <c r="B28" s="29" t="s">
        <v>32</v>
      </c>
      <c r="C28" s="522">
        <v>33836026</v>
      </c>
    </row>
    <row r="29" spans="1:3">
      <c r="A29" s="130" t="s">
        <v>28</v>
      </c>
      <c r="B29" s="29" t="s">
        <v>33</v>
      </c>
      <c r="C29" s="522">
        <v>4768154</v>
      </c>
    </row>
    <row r="30" spans="1:3">
      <c r="A30" s="130" t="s">
        <v>29</v>
      </c>
      <c r="B30" s="29" t="s">
        <v>34</v>
      </c>
      <c r="C30" s="522">
        <v>29721968</v>
      </c>
    </row>
    <row r="31" spans="1:3" ht="15" thickBot="1">
      <c r="A31" s="149" t="s">
        <v>30</v>
      </c>
      <c r="B31" s="150" t="s">
        <v>35</v>
      </c>
      <c r="C31" s="330">
        <v>3527661</v>
      </c>
    </row>
    <row r="32" spans="1:3">
      <c r="A32" s="29"/>
      <c r="B32" s="35"/>
      <c r="C32" s="36">
        <f>SUM(C25:C31)</f>
        <v>286278491</v>
      </c>
    </row>
    <row r="35" spans="1:6" ht="15" thickBot="1">
      <c r="A35" s="12" t="s">
        <v>561</v>
      </c>
      <c r="B35" s="13"/>
      <c r="C35" s="13"/>
      <c r="D35" s="13"/>
      <c r="E35" s="13"/>
      <c r="F35" s="13"/>
    </row>
    <row r="36" spans="1:6" ht="15" thickBot="1">
      <c r="A36" s="94" t="s">
        <v>575</v>
      </c>
      <c r="B36" s="214"/>
      <c r="C36" s="214"/>
      <c r="D36" s="214"/>
      <c r="E36" s="214"/>
      <c r="F36" s="95"/>
    </row>
    <row r="37" spans="1:6">
      <c r="A37" s="127"/>
      <c r="B37" s="155" t="s">
        <v>190</v>
      </c>
      <c r="C37" s="155" t="s">
        <v>192</v>
      </c>
      <c r="D37" s="155" t="s">
        <v>191</v>
      </c>
      <c r="E37" s="155" t="s">
        <v>193</v>
      </c>
      <c r="F37" s="286" t="s">
        <v>194</v>
      </c>
    </row>
    <row r="38" spans="1:6">
      <c r="A38" s="127"/>
      <c r="B38" s="105"/>
      <c r="C38" s="105"/>
      <c r="D38" s="105"/>
      <c r="E38" s="105"/>
      <c r="F38" s="287"/>
    </row>
    <row r="39" spans="1:6">
      <c r="A39" s="129" t="s">
        <v>107</v>
      </c>
      <c r="B39" s="126">
        <v>1</v>
      </c>
      <c r="C39" s="126">
        <v>1.3</v>
      </c>
      <c r="D39" s="126">
        <v>1.5</v>
      </c>
      <c r="E39" s="126">
        <v>2</v>
      </c>
      <c r="F39" s="282">
        <v>2.2000000000000002</v>
      </c>
    </row>
    <row r="40" spans="1:6">
      <c r="A40" s="129" t="s">
        <v>172</v>
      </c>
      <c r="B40" s="126">
        <v>1</v>
      </c>
      <c r="C40" s="126">
        <v>1.3</v>
      </c>
      <c r="D40" s="126">
        <v>1.5</v>
      </c>
      <c r="E40" s="126">
        <v>2</v>
      </c>
      <c r="F40" s="282">
        <v>2.2000000000000002</v>
      </c>
    </row>
    <row r="41" spans="1:6" ht="15" thickBot="1">
      <c r="A41" s="132" t="s">
        <v>173</v>
      </c>
      <c r="B41" s="133"/>
      <c r="C41" s="133"/>
      <c r="D41" s="133"/>
      <c r="E41" s="283">
        <v>1</v>
      </c>
      <c r="F41" s="284">
        <v>1.1000000000000001</v>
      </c>
    </row>
    <row r="42" spans="1:6" ht="15" thickBot="1">
      <c r="A42" s="281"/>
    </row>
    <row r="43" spans="1:6" ht="15" thickBot="1">
      <c r="A43" s="94" t="s">
        <v>249</v>
      </c>
      <c r="B43" s="214"/>
      <c r="C43" s="95"/>
    </row>
    <row r="44" spans="1:6" ht="27.6">
      <c r="A44" s="127"/>
      <c r="B44" s="140" t="s">
        <v>547</v>
      </c>
      <c r="C44" s="141" t="s">
        <v>548</v>
      </c>
    </row>
    <row r="45" spans="1:6">
      <c r="A45" s="129" t="s">
        <v>571</v>
      </c>
      <c r="B45" s="126">
        <v>1.5</v>
      </c>
      <c r="C45" s="285" t="s">
        <v>250</v>
      </c>
    </row>
    <row r="46" spans="1:6">
      <c r="A46" s="129" t="s">
        <v>572</v>
      </c>
      <c r="B46" s="126">
        <v>1.5</v>
      </c>
      <c r="C46" s="282">
        <v>3</v>
      </c>
    </row>
    <row r="47" spans="1:6" ht="15" thickBot="1">
      <c r="A47" s="132" t="s">
        <v>570</v>
      </c>
      <c r="B47" s="283">
        <v>6</v>
      </c>
      <c r="C47" s="284">
        <v>10</v>
      </c>
    </row>
    <row r="49" spans="1:6">
      <c r="A49" s="12" t="s">
        <v>573</v>
      </c>
      <c r="B49" s="13"/>
      <c r="C49" s="13"/>
      <c r="D49" s="13"/>
      <c r="E49" s="13"/>
      <c r="F49" s="13"/>
    </row>
    <row r="50" spans="1:6">
      <c r="A50" s="523" t="s">
        <v>574</v>
      </c>
      <c r="B50" s="277"/>
      <c r="C50" s="277"/>
      <c r="D50" s="277"/>
      <c r="E50" s="277"/>
      <c r="F50" s="277"/>
    </row>
    <row r="51" spans="1:6">
      <c r="A51" s="276" t="s">
        <v>576</v>
      </c>
      <c r="B51" s="277"/>
      <c r="C51" s="277"/>
      <c r="D51" s="277"/>
      <c r="E51" s="277"/>
      <c r="F51" s="277"/>
    </row>
    <row r="52" spans="1:6" ht="15" thickBot="1"/>
    <row r="53" spans="1:6" ht="15" thickBot="1">
      <c r="A53" s="113" t="s">
        <v>248</v>
      </c>
      <c r="B53" s="278" t="s">
        <v>184</v>
      </c>
    </row>
    <row r="54" spans="1:6">
      <c r="A54" s="201" t="s">
        <v>169</v>
      </c>
      <c r="B54" s="279">
        <v>3.5756999999999998E-4</v>
      </c>
    </row>
    <row r="55" spans="1:6" ht="15" thickBot="1">
      <c r="A55" s="205" t="s">
        <v>170</v>
      </c>
      <c r="B55" s="280">
        <v>1.43E-5</v>
      </c>
    </row>
    <row r="102" spans="1:4" ht="15" thickBot="1"/>
    <row r="103" spans="1:4" ht="15" thickBot="1">
      <c r="A103" s="94" t="s">
        <v>395</v>
      </c>
      <c r="B103" s="241"/>
      <c r="C103" s="242"/>
    </row>
    <row r="104" spans="1:4" ht="15" thickBot="1">
      <c r="A104" s="488" t="s">
        <v>387</v>
      </c>
      <c r="B104" s="259" t="s">
        <v>386</v>
      </c>
      <c r="C104" s="499">
        <v>11.667</v>
      </c>
    </row>
    <row r="106" spans="1:4" ht="15" thickBot="1"/>
    <row r="107" spans="1:4" ht="15" thickBot="1">
      <c r="A107" s="90" t="s">
        <v>400</v>
      </c>
      <c r="B107" s="144"/>
      <c r="C107" s="145"/>
    </row>
    <row r="108" spans="1:4" ht="15" thickBot="1">
      <c r="A108" s="614" t="s">
        <v>401</v>
      </c>
      <c r="B108" s="615"/>
      <c r="C108" s="143"/>
    </row>
    <row r="109" spans="1:4">
      <c r="A109" s="541" t="s">
        <v>402</v>
      </c>
      <c r="B109" s="491" t="s">
        <v>399</v>
      </c>
      <c r="C109" s="544">
        <f>335314210.758799/1000000</f>
        <v>335.31421075879899</v>
      </c>
    </row>
    <row r="110" spans="1:4" ht="15" thickBot="1">
      <c r="A110" s="542" t="s">
        <v>403</v>
      </c>
      <c r="B110" s="295" t="s">
        <v>399</v>
      </c>
      <c r="C110" s="543">
        <f>Data_c!B19</f>
        <v>58516</v>
      </c>
      <c r="D110" s="22"/>
    </row>
    <row r="111" spans="1:4" ht="15" thickBot="1">
      <c r="A111" s="94" t="s">
        <v>487</v>
      </c>
      <c r="B111" s="214"/>
      <c r="C111" s="95"/>
    </row>
    <row r="112" spans="1:4" ht="15" thickBot="1">
      <c r="A112" s="258" t="s">
        <v>242</v>
      </c>
      <c r="B112" s="259"/>
      <c r="C112" s="261">
        <v>1.4E-2</v>
      </c>
    </row>
    <row r="114" spans="1:3">
      <c r="A114" s="2" t="s">
        <v>406</v>
      </c>
    </row>
    <row r="115" spans="1:3" ht="15" thickBot="1">
      <c r="A115" s="18" t="s">
        <v>407</v>
      </c>
    </row>
    <row r="116" spans="1:3" ht="15" thickBot="1">
      <c r="A116" s="546" t="s">
        <v>164</v>
      </c>
      <c r="B116" s="547"/>
      <c r="C116" s="548"/>
    </row>
    <row r="117" spans="1:3" ht="15" thickBot="1">
      <c r="A117" s="90" t="s">
        <v>162</v>
      </c>
      <c r="B117" s="144"/>
      <c r="C117" s="549"/>
    </row>
    <row r="118" spans="1:3">
      <c r="A118" s="557"/>
      <c r="B118" s="558"/>
      <c r="C118" s="559" t="s">
        <v>137</v>
      </c>
    </row>
    <row r="119" spans="1:3">
      <c r="A119" s="130" t="s">
        <v>107</v>
      </c>
      <c r="B119" s="29" t="s">
        <v>408</v>
      </c>
      <c r="C119" s="522">
        <v>139012920</v>
      </c>
    </row>
    <row r="120" spans="1:3">
      <c r="A120" s="130" t="s">
        <v>23</v>
      </c>
      <c r="B120" s="29" t="s">
        <v>11</v>
      </c>
      <c r="C120" s="522">
        <v>192780000</v>
      </c>
    </row>
    <row r="121" spans="1:3" ht="15" thickBot="1">
      <c r="A121" s="149" t="s">
        <v>10</v>
      </c>
      <c r="B121" s="150" t="s">
        <v>12</v>
      </c>
      <c r="C121" s="330">
        <v>50000000</v>
      </c>
    </row>
    <row r="122" spans="1:3" ht="15" thickBot="1">
      <c r="A122" s="90" t="s">
        <v>163</v>
      </c>
      <c r="B122" s="144"/>
      <c r="C122" s="549"/>
    </row>
    <row r="123" spans="1:3">
      <c r="A123" s="557"/>
      <c r="B123" s="558"/>
      <c r="C123" s="559" t="s">
        <v>137</v>
      </c>
    </row>
    <row r="124" spans="1:3">
      <c r="A124" s="130" t="s">
        <v>107</v>
      </c>
      <c r="B124" s="29" t="s">
        <v>408</v>
      </c>
      <c r="C124" s="522">
        <v>3007800</v>
      </c>
    </row>
    <row r="125" spans="1:3">
      <c r="A125" s="130" t="s">
        <v>23</v>
      </c>
      <c r="B125" s="29" t="s">
        <v>11</v>
      </c>
      <c r="C125" s="522">
        <v>5000000</v>
      </c>
    </row>
    <row r="126" spans="1:3">
      <c r="A126" s="130" t="s">
        <v>10</v>
      </c>
      <c r="B126" s="29" t="s">
        <v>12</v>
      </c>
      <c r="C126" s="522">
        <v>25288000</v>
      </c>
    </row>
    <row r="127" spans="1:3">
      <c r="A127" s="130" t="s">
        <v>121</v>
      </c>
      <c r="B127" s="66" t="s">
        <v>409</v>
      </c>
      <c r="C127" s="522">
        <v>179046140</v>
      </c>
    </row>
    <row r="128" spans="1:3" ht="15" thickBot="1">
      <c r="A128" s="149" t="s">
        <v>410</v>
      </c>
      <c r="B128" s="150" t="s">
        <v>409</v>
      </c>
      <c r="C128" s="330">
        <v>104933170</v>
      </c>
    </row>
    <row r="129" spans="1:3" ht="15" thickBot="1">
      <c r="A129" s="546" t="s">
        <v>411</v>
      </c>
      <c r="B129" s="547"/>
      <c r="C129" s="548"/>
    </row>
    <row r="130" spans="1:3" ht="15" thickBot="1">
      <c r="A130" s="258" t="s">
        <v>412</v>
      </c>
      <c r="B130" s="259"/>
      <c r="C130" s="499">
        <v>1</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22"/>
  <sheetViews>
    <sheetView zoomScale="80" zoomScaleNormal="80" workbookViewId="0">
      <selection activeCell="A2" sqref="A2"/>
    </sheetView>
  </sheetViews>
  <sheetFormatPr defaultRowHeight="14.4"/>
  <cols>
    <col min="1" max="1" width="35.88671875" bestFit="1" customWidth="1"/>
    <col min="2" max="24" width="14.21875" customWidth="1"/>
  </cols>
  <sheetData>
    <row r="1" spans="1:24">
      <c r="A1" s="2" t="s">
        <v>563</v>
      </c>
    </row>
    <row r="3" spans="1:24" ht="15" thickBot="1"/>
    <row r="4" spans="1:24" ht="15" thickBot="1">
      <c r="A4" t="s">
        <v>239</v>
      </c>
      <c r="B4" s="524">
        <v>1997</v>
      </c>
      <c r="C4" s="525">
        <v>1998</v>
      </c>
      <c r="D4" s="525">
        <v>1999</v>
      </c>
      <c r="E4" s="525">
        <v>2000</v>
      </c>
      <c r="F4" s="525">
        <v>2001</v>
      </c>
      <c r="G4" s="525">
        <v>2002</v>
      </c>
      <c r="H4" s="525">
        <v>2003</v>
      </c>
      <c r="I4" s="525">
        <v>2004</v>
      </c>
      <c r="J4" s="525">
        <v>2005</v>
      </c>
      <c r="K4" s="525">
        <v>2006</v>
      </c>
      <c r="L4" s="525">
        <v>2007</v>
      </c>
      <c r="M4" s="525">
        <v>2008</v>
      </c>
      <c r="N4" s="525">
        <v>2009</v>
      </c>
      <c r="O4" s="525">
        <v>2010</v>
      </c>
      <c r="P4" s="525">
        <v>2011</v>
      </c>
      <c r="Q4" s="525">
        <v>2012</v>
      </c>
      <c r="R4" s="525">
        <v>2013</v>
      </c>
      <c r="S4" s="525">
        <v>2014</v>
      </c>
      <c r="T4" s="525">
        <v>2015</v>
      </c>
      <c r="U4" s="525">
        <v>2016</v>
      </c>
      <c r="V4" s="525">
        <v>2017</v>
      </c>
      <c r="W4" s="525">
        <v>2018</v>
      </c>
      <c r="X4" s="526">
        <v>2019</v>
      </c>
    </row>
    <row r="5" spans="1:24">
      <c r="A5" s="331" t="s">
        <v>266</v>
      </c>
      <c r="B5" s="325">
        <v>490303.28705000022</v>
      </c>
      <c r="C5" s="326">
        <v>36082.873780000002</v>
      </c>
      <c r="D5" s="326">
        <v>9572.5088300000007</v>
      </c>
      <c r="E5" s="326">
        <v>1060.4058</v>
      </c>
      <c r="F5" s="326">
        <v>2702.7231700000002</v>
      </c>
      <c r="G5" s="326">
        <v>3361.4064499999995</v>
      </c>
      <c r="H5" s="326">
        <v>76318.194570000007</v>
      </c>
      <c r="I5" s="326">
        <v>2067.1401299999998</v>
      </c>
      <c r="J5" s="326">
        <v>2249.11519</v>
      </c>
      <c r="K5" s="326">
        <v>1300.7606199999998</v>
      </c>
      <c r="L5" s="326">
        <v>94.619339999999994</v>
      </c>
      <c r="M5" s="326">
        <v>102.32692</v>
      </c>
      <c r="N5" s="326">
        <v>29735.887029999882</v>
      </c>
      <c r="O5" s="326">
        <v>44053.859089999984</v>
      </c>
      <c r="P5" s="326">
        <v>10219.296</v>
      </c>
      <c r="Q5" s="326">
        <v>2705.9021700000003</v>
      </c>
      <c r="R5" s="326">
        <v>42058.149000000005</v>
      </c>
      <c r="S5" s="326">
        <v>4900.6977699999961</v>
      </c>
      <c r="T5" s="326">
        <v>3727.8942099999999</v>
      </c>
      <c r="U5" s="326">
        <v>3813.3129099999987</v>
      </c>
      <c r="V5" s="326">
        <v>5930.4133936116014</v>
      </c>
      <c r="W5" s="326">
        <v>2927.0704271456002</v>
      </c>
      <c r="X5" s="327">
        <v>7388.7422084957007</v>
      </c>
    </row>
    <row r="6" spans="1:24" ht="15" thickBot="1">
      <c r="A6" s="332" t="s">
        <v>267</v>
      </c>
      <c r="B6" s="328">
        <v>114589.56979999997</v>
      </c>
      <c r="C6" s="329">
        <v>8259.4614800000018</v>
      </c>
      <c r="D6" s="329">
        <v>2168.7632700000004</v>
      </c>
      <c r="E6" s="329">
        <v>11270.897239999997</v>
      </c>
      <c r="F6" s="329">
        <v>1653.9328400000002</v>
      </c>
      <c r="G6" s="329">
        <v>4453.4566100000002</v>
      </c>
      <c r="H6" s="329">
        <v>6540.987520000006</v>
      </c>
      <c r="I6" s="329">
        <v>9497.1439499999997</v>
      </c>
      <c r="J6" s="329">
        <v>4149.1977499999994</v>
      </c>
      <c r="K6" s="329">
        <v>1441.1622100000002</v>
      </c>
      <c r="L6" s="329">
        <v>1124.62238</v>
      </c>
      <c r="M6" s="329">
        <v>8221.3579399999999</v>
      </c>
      <c r="N6" s="329">
        <v>5578.0861199999999</v>
      </c>
      <c r="O6" s="329">
        <v>6.0149999999994179</v>
      </c>
      <c r="P6" s="329">
        <v>0</v>
      </c>
      <c r="Q6" s="329">
        <v>210.80183</v>
      </c>
      <c r="R6" s="329">
        <v>0</v>
      </c>
      <c r="S6" s="329">
        <v>0</v>
      </c>
      <c r="T6" s="329">
        <v>0</v>
      </c>
      <c r="U6" s="329">
        <v>0</v>
      </c>
      <c r="V6" s="329">
        <v>0</v>
      </c>
      <c r="W6" s="329">
        <v>0</v>
      </c>
      <c r="X6" s="330">
        <v>0</v>
      </c>
    </row>
    <row r="8" spans="1:24">
      <c r="A8" s="22"/>
    </row>
    <row r="11" spans="1:24" ht="15" thickBot="1"/>
    <row r="12" spans="1:24" ht="15" thickBot="1">
      <c r="A12" s="8"/>
      <c r="B12" s="59"/>
      <c r="C12" s="94">
        <v>2007</v>
      </c>
      <c r="D12" s="241">
        <v>2008</v>
      </c>
      <c r="E12" s="241">
        <v>2009</v>
      </c>
      <c r="F12" s="241">
        <v>2010</v>
      </c>
      <c r="G12" s="241">
        <v>2011</v>
      </c>
      <c r="H12" s="241">
        <v>2012</v>
      </c>
      <c r="I12" s="241">
        <v>2013</v>
      </c>
      <c r="J12" s="241">
        <v>2014</v>
      </c>
      <c r="K12" s="241">
        <v>2015</v>
      </c>
      <c r="L12" s="242">
        <v>2016</v>
      </c>
    </row>
    <row r="13" spans="1:24">
      <c r="A13" s="262" t="s">
        <v>206</v>
      </c>
      <c r="B13" s="263" t="s">
        <v>142</v>
      </c>
      <c r="C13" s="326">
        <v>102254919.52518639</v>
      </c>
      <c r="D13" s="326">
        <v>97464583.611313626</v>
      </c>
      <c r="E13" s="326">
        <v>95995594.236470416</v>
      </c>
      <c r="F13" s="326">
        <v>95328815.790845484</v>
      </c>
      <c r="G13" s="326">
        <v>90962484.727682427</v>
      </c>
      <c r="H13" s="326">
        <v>86079228.203435302</v>
      </c>
      <c r="I13" s="326">
        <v>85023595.566888973</v>
      </c>
      <c r="J13" s="326">
        <v>80616976.841129869</v>
      </c>
      <c r="K13" s="326">
        <v>76341590.558333367</v>
      </c>
      <c r="L13" s="327">
        <v>72298340.44579111</v>
      </c>
    </row>
    <row r="14" spans="1:24">
      <c r="A14" s="527" t="s">
        <v>139</v>
      </c>
      <c r="B14" s="61" t="s">
        <v>138</v>
      </c>
      <c r="C14" s="528">
        <v>218</v>
      </c>
      <c r="D14" s="528">
        <v>196</v>
      </c>
      <c r="E14" s="528">
        <v>234</v>
      </c>
      <c r="F14" s="528">
        <v>233</v>
      </c>
      <c r="G14" s="528">
        <v>237</v>
      </c>
      <c r="H14" s="528">
        <v>218</v>
      </c>
      <c r="I14" s="528">
        <v>207</v>
      </c>
      <c r="J14" s="528">
        <v>198</v>
      </c>
      <c r="K14" s="528">
        <v>232</v>
      </c>
      <c r="L14" s="87">
        <v>239</v>
      </c>
    </row>
    <row r="15" spans="1:24" ht="15" thickBot="1">
      <c r="A15" s="149" t="s">
        <v>140</v>
      </c>
      <c r="B15" s="59" t="s">
        <v>21</v>
      </c>
      <c r="C15" s="530"/>
      <c r="D15" s="529">
        <v>30</v>
      </c>
      <c r="E15" s="529">
        <v>19</v>
      </c>
      <c r="F15" s="529">
        <v>29</v>
      </c>
      <c r="G15" s="529">
        <v>2</v>
      </c>
      <c r="H15" s="529">
        <v>0</v>
      </c>
      <c r="I15" s="529">
        <v>77</v>
      </c>
      <c r="J15" s="529">
        <v>0</v>
      </c>
      <c r="K15" s="529">
        <v>0</v>
      </c>
      <c r="L15" s="89">
        <v>0</v>
      </c>
    </row>
    <row r="16" spans="1:24" ht="15" thickBot="1"/>
    <row r="17" spans="1:3" ht="15" thickBot="1">
      <c r="A17" s="258" t="s">
        <v>396</v>
      </c>
      <c r="B17" s="499">
        <v>1218</v>
      </c>
    </row>
    <row r="18" spans="1:3" ht="15" thickBot="1"/>
    <row r="19" spans="1:3" ht="15" thickBot="1">
      <c r="A19" s="531" t="s">
        <v>247</v>
      </c>
      <c r="B19" s="510">
        <v>58516</v>
      </c>
    </row>
    <row r="21" spans="1:3" ht="15" thickBot="1"/>
    <row r="22" spans="1:3" ht="15" thickBot="1">
      <c r="A22" s="533" t="s">
        <v>146</v>
      </c>
      <c r="B22" s="534">
        <v>0</v>
      </c>
      <c r="C22" s="18" t="s">
        <v>103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AF58"/>
  <sheetViews>
    <sheetView zoomScale="80" zoomScaleNormal="80" workbookViewId="0">
      <selection activeCell="B2" sqref="B2"/>
    </sheetView>
  </sheetViews>
  <sheetFormatPr defaultColWidth="9.109375" defaultRowHeight="13.2"/>
  <cols>
    <col min="1" max="1" width="6.109375" style="368" customWidth="1"/>
    <col min="2" max="2" width="54.44140625" style="368" customWidth="1"/>
    <col min="3" max="3" width="18.44140625" style="368" bestFit="1" customWidth="1"/>
    <col min="4" max="4" width="18.44140625" style="368" customWidth="1"/>
    <col min="5" max="5" width="1.44140625" style="369" customWidth="1"/>
    <col min="6" max="6" width="18.44140625" style="368" customWidth="1"/>
    <col min="7" max="7" width="17.5546875" style="368" bestFit="1" customWidth="1"/>
    <col min="8" max="8" width="8.88671875" style="368" customWidth="1"/>
    <col min="9" max="9" width="58" style="368" customWidth="1"/>
    <col min="10" max="10" width="19.5546875" style="368" bestFit="1" customWidth="1"/>
    <col min="11" max="11" width="17.109375" style="368" bestFit="1" customWidth="1"/>
    <col min="12" max="12" width="1.33203125" style="368" customWidth="1"/>
    <col min="13" max="14" width="18" style="368" customWidth="1"/>
    <col min="15" max="15" width="0.6640625" style="368" customWidth="1"/>
    <col min="16" max="16" width="12.33203125" style="368" customWidth="1"/>
    <col min="17" max="17" width="14.88671875" style="369" customWidth="1"/>
    <col min="18" max="18" width="12.5546875" style="369" customWidth="1"/>
    <col min="19" max="19" width="11" style="368" customWidth="1"/>
    <col min="20" max="20" width="10.5546875" style="368" bestFit="1" customWidth="1"/>
    <col min="21" max="21" width="9.109375" style="368" bestFit="1" customWidth="1"/>
    <col min="22" max="22" width="1.5546875" style="368" bestFit="1" customWidth="1"/>
    <col min="23" max="23" width="8.88671875" style="368" bestFit="1" customWidth="1"/>
    <col min="24" max="24" width="15.33203125" style="368" customWidth="1"/>
    <col min="25" max="25" width="46.44140625" style="368" customWidth="1"/>
    <col min="26" max="26" width="8.6640625" style="368" bestFit="1" customWidth="1"/>
    <col min="27" max="27" width="13.33203125" style="368" customWidth="1"/>
    <col min="28" max="31" width="9.109375" style="368"/>
    <col min="32" max="32" width="9.109375" style="368" customWidth="1"/>
    <col min="33" max="16384" width="9.109375" style="368"/>
  </cols>
  <sheetData>
    <row r="1" spans="2:32">
      <c r="B1" s="458" t="s">
        <v>562</v>
      </c>
      <c r="P1" s="370"/>
      <c r="Q1" s="371"/>
      <c r="R1" s="371"/>
    </row>
    <row r="2" spans="2:32" ht="6" customHeight="1"/>
    <row r="3" spans="2:32">
      <c r="P3" s="372"/>
      <c r="Q3" s="373"/>
      <c r="R3" s="373"/>
      <c r="S3" s="372"/>
      <c r="T3" s="372"/>
      <c r="U3" s="372"/>
      <c r="V3" s="372"/>
      <c r="W3" s="372"/>
      <c r="X3" s="372"/>
      <c r="Y3" s="372"/>
    </row>
    <row r="4" spans="2:32">
      <c r="P4" s="372"/>
      <c r="Q4" s="373"/>
      <c r="R4" s="373"/>
      <c r="S4" s="372"/>
      <c r="T4" s="372"/>
      <c r="U4" s="372"/>
      <c r="V4" s="372"/>
      <c r="W4" s="372"/>
      <c r="X4" s="372"/>
      <c r="Y4" s="372"/>
    </row>
    <row r="5" spans="2:32">
      <c r="P5" s="374"/>
      <c r="Q5" s="375"/>
      <c r="R5" s="375"/>
      <c r="S5" s="374"/>
      <c r="T5" s="374"/>
      <c r="U5" s="376"/>
      <c r="V5" s="376"/>
      <c r="W5" s="376"/>
      <c r="X5" s="377"/>
      <c r="Y5" s="377"/>
      <c r="Z5" s="378"/>
    </row>
    <row r="6" spans="2:32">
      <c r="B6" s="643" t="s">
        <v>283</v>
      </c>
      <c r="C6" s="644" t="s">
        <v>275</v>
      </c>
      <c r="D6" s="644"/>
      <c r="E6" s="379"/>
      <c r="F6" s="644" t="s">
        <v>275</v>
      </c>
      <c r="G6" s="644"/>
      <c r="I6" s="645" t="s">
        <v>284</v>
      </c>
      <c r="J6" s="640" t="s">
        <v>275</v>
      </c>
      <c r="K6" s="641"/>
      <c r="L6" s="380"/>
      <c r="M6" s="640" t="s">
        <v>275</v>
      </c>
      <c r="N6" s="641"/>
      <c r="O6" s="380"/>
      <c r="P6" s="381" t="s">
        <v>168</v>
      </c>
      <c r="Q6" s="382"/>
      <c r="R6" s="647" t="s">
        <v>285</v>
      </c>
      <c r="S6" s="648"/>
      <c r="T6" s="648"/>
      <c r="U6" s="648"/>
      <c r="V6" s="648"/>
      <c r="W6" s="648"/>
      <c r="X6" s="649"/>
    </row>
    <row r="7" spans="2:32">
      <c r="B7" s="643"/>
      <c r="C7" s="383" t="s">
        <v>287</v>
      </c>
      <c r="D7" s="383" t="s">
        <v>286</v>
      </c>
      <c r="E7" s="382"/>
      <c r="F7" s="381" t="s">
        <v>288</v>
      </c>
      <c r="G7" s="381" t="s">
        <v>289</v>
      </c>
      <c r="I7" s="646"/>
      <c r="J7" s="381" t="s">
        <v>287</v>
      </c>
      <c r="K7" s="381" t="s">
        <v>286</v>
      </c>
      <c r="L7" s="384"/>
      <c r="M7" s="381" t="s">
        <v>288</v>
      </c>
      <c r="N7" s="381" t="s">
        <v>289</v>
      </c>
      <c r="O7" s="384"/>
      <c r="P7" s="381" t="s">
        <v>290</v>
      </c>
      <c r="Q7" s="382"/>
      <c r="R7" s="650" t="s">
        <v>291</v>
      </c>
      <c r="S7" s="653" t="s">
        <v>292</v>
      </c>
      <c r="T7" s="650" t="s">
        <v>293</v>
      </c>
      <c r="U7" s="656" t="s">
        <v>294</v>
      </c>
      <c r="V7" s="657"/>
      <c r="W7" s="653"/>
      <c r="X7" s="385" t="s">
        <v>168</v>
      </c>
    </row>
    <row r="8" spans="2:32" ht="15" customHeight="1">
      <c r="B8" s="642" t="s">
        <v>295</v>
      </c>
      <c r="C8" s="642"/>
      <c r="D8" s="642"/>
      <c r="E8" s="386"/>
      <c r="F8" s="387"/>
      <c r="G8" s="387"/>
      <c r="I8" s="388" t="s">
        <v>295</v>
      </c>
      <c r="J8" s="389"/>
      <c r="K8" s="390"/>
      <c r="L8" s="380"/>
      <c r="M8" s="388"/>
      <c r="N8" s="390"/>
      <c r="O8" s="380"/>
      <c r="P8" s="391"/>
      <c r="R8" s="651"/>
      <c r="S8" s="654"/>
      <c r="T8" s="651"/>
      <c r="U8" s="658"/>
      <c r="V8" s="659"/>
      <c r="W8" s="654"/>
      <c r="X8" s="392"/>
    </row>
    <row r="9" spans="2:32" ht="15" customHeight="1">
      <c r="B9" s="393" t="s">
        <v>296</v>
      </c>
      <c r="C9" s="394">
        <v>1.0149999999999999E-2</v>
      </c>
      <c r="D9" s="395">
        <v>3.3368999999999998E-4</v>
      </c>
      <c r="E9" s="396"/>
      <c r="F9" s="395">
        <v>8.0085599999999996E-3</v>
      </c>
      <c r="G9" s="397"/>
      <c r="I9" s="398" t="s">
        <v>297</v>
      </c>
      <c r="J9" s="399">
        <v>0</v>
      </c>
      <c r="K9" s="397"/>
      <c r="L9" s="380"/>
      <c r="M9" s="391">
        <v>0</v>
      </c>
      <c r="N9" s="397"/>
      <c r="O9" s="380"/>
      <c r="P9" s="397"/>
      <c r="Q9" s="400"/>
      <c r="R9" s="652"/>
      <c r="S9" s="655"/>
      <c r="T9" s="652"/>
      <c r="U9" s="660"/>
      <c r="V9" s="661"/>
      <c r="W9" s="655"/>
      <c r="X9" s="401" t="s">
        <v>298</v>
      </c>
      <c r="Y9" s="378"/>
      <c r="Z9" s="378"/>
      <c r="AA9" s="378"/>
      <c r="AB9" s="378"/>
      <c r="AC9" s="378"/>
      <c r="AD9" s="378"/>
      <c r="AE9" s="378"/>
      <c r="AF9" s="378"/>
    </row>
    <row r="10" spans="2:32" ht="16.2">
      <c r="B10" s="393" t="s">
        <v>299</v>
      </c>
      <c r="C10" s="394">
        <v>1.3195E-2</v>
      </c>
      <c r="D10" s="395">
        <v>4.3378999999999998E-4</v>
      </c>
      <c r="E10" s="396"/>
      <c r="F10" s="395">
        <v>1.041096E-2</v>
      </c>
      <c r="G10" s="397"/>
      <c r="I10" s="398" t="s">
        <v>300</v>
      </c>
      <c r="J10" s="399">
        <v>0</v>
      </c>
      <c r="K10" s="397"/>
      <c r="L10" s="380"/>
      <c r="M10" s="391">
        <v>0</v>
      </c>
      <c r="N10" s="397"/>
      <c r="O10" s="380"/>
      <c r="P10" s="397"/>
      <c r="R10" s="672" t="s">
        <v>301</v>
      </c>
      <c r="S10" s="673"/>
      <c r="T10" s="673"/>
      <c r="U10" s="673"/>
      <c r="V10" s="673"/>
      <c r="W10" s="674"/>
      <c r="X10" s="402">
        <v>1.1170399999999999E-3</v>
      </c>
      <c r="Y10" s="378"/>
      <c r="Z10" s="378"/>
      <c r="AA10" s="403"/>
      <c r="AB10" s="378"/>
      <c r="AC10" s="378"/>
      <c r="AD10" s="378"/>
      <c r="AE10" s="378"/>
      <c r="AF10" s="378"/>
    </row>
    <row r="11" spans="2:32">
      <c r="B11" s="393" t="s">
        <v>302</v>
      </c>
      <c r="C11" s="394">
        <v>1.5224E-2</v>
      </c>
      <c r="D11" s="395">
        <v>5.0053000000000001E-4</v>
      </c>
      <c r="E11" s="396"/>
      <c r="F11" s="395">
        <v>1.2012719999999999E-2</v>
      </c>
      <c r="G11" s="397"/>
      <c r="I11" s="398" t="s">
        <v>303</v>
      </c>
      <c r="J11" s="399">
        <v>0</v>
      </c>
      <c r="K11" s="397"/>
      <c r="L11" s="380"/>
      <c r="M11" s="391">
        <v>0</v>
      </c>
      <c r="N11" s="397"/>
      <c r="O11" s="380"/>
      <c r="P11" s="397"/>
      <c r="Q11" s="404"/>
      <c r="R11" s="675" t="s">
        <v>304</v>
      </c>
      <c r="S11" s="662" t="s">
        <v>305</v>
      </c>
      <c r="T11" s="663"/>
      <c r="U11" s="666" t="s">
        <v>306</v>
      </c>
      <c r="V11" s="667"/>
      <c r="W11" s="668"/>
      <c r="X11" s="402">
        <v>1.1178200000000001E-3</v>
      </c>
      <c r="Y11" s="378"/>
      <c r="Z11" s="378"/>
      <c r="AB11" s="405"/>
      <c r="AC11" s="378"/>
      <c r="AD11" s="378"/>
      <c r="AE11" s="378"/>
      <c r="AF11" s="378"/>
    </row>
    <row r="12" spans="2:32">
      <c r="B12" s="393" t="s">
        <v>307</v>
      </c>
      <c r="C12" s="406"/>
      <c r="D12" s="407">
        <v>6.6737999999999997E-4</v>
      </c>
      <c r="E12" s="408"/>
      <c r="F12" s="395">
        <v>1.6017119999999999E-2</v>
      </c>
      <c r="G12" s="397"/>
      <c r="I12" s="398" t="s">
        <v>308</v>
      </c>
      <c r="J12" s="399">
        <v>0</v>
      </c>
      <c r="K12" s="397"/>
      <c r="L12" s="380"/>
      <c r="M12" s="391">
        <v>0</v>
      </c>
      <c r="N12" s="397"/>
      <c r="O12" s="380"/>
      <c r="P12" s="397"/>
      <c r="Q12" s="404"/>
      <c r="R12" s="676"/>
      <c r="S12" s="664"/>
      <c r="T12" s="665"/>
      <c r="U12" s="666" t="s">
        <v>309</v>
      </c>
      <c r="V12" s="667"/>
      <c r="W12" s="668"/>
      <c r="X12" s="402">
        <v>1.1178200000000001E-3</v>
      </c>
      <c r="Y12" s="378"/>
      <c r="Z12" s="409"/>
      <c r="AA12" s="410"/>
      <c r="AB12" s="405"/>
      <c r="AC12" s="378"/>
      <c r="AD12" s="378"/>
      <c r="AE12" s="378"/>
      <c r="AF12" s="378"/>
    </row>
    <row r="13" spans="2:32">
      <c r="B13" s="393" t="s">
        <v>310</v>
      </c>
      <c r="C13" s="406"/>
      <c r="D13" s="407">
        <v>7.3410999999999995E-4</v>
      </c>
      <c r="E13" s="408"/>
      <c r="F13" s="411"/>
      <c r="G13" s="395">
        <v>7.3410999999999995E-4</v>
      </c>
      <c r="I13" s="398" t="s">
        <v>311</v>
      </c>
      <c r="J13" s="412"/>
      <c r="K13" s="391">
        <v>0</v>
      </c>
      <c r="L13" s="380"/>
      <c r="M13" s="411"/>
      <c r="N13" s="391">
        <v>0</v>
      </c>
      <c r="O13" s="380"/>
      <c r="P13" s="413"/>
      <c r="Q13" s="404"/>
      <c r="R13" s="676"/>
      <c r="S13" s="414" t="s">
        <v>312</v>
      </c>
      <c r="T13" s="415"/>
      <c r="U13" s="415"/>
      <c r="V13" s="415"/>
      <c r="W13" s="416"/>
      <c r="X13" s="402">
        <v>1.1178200000000001E-3</v>
      </c>
      <c r="Y13" s="378"/>
      <c r="Z13" s="409"/>
      <c r="AA13" s="410"/>
      <c r="AB13" s="405"/>
      <c r="AC13" s="378"/>
      <c r="AD13" s="378"/>
      <c r="AE13" s="378"/>
      <c r="AF13" s="378"/>
    </row>
    <row r="14" spans="2:32">
      <c r="B14" s="642" t="s">
        <v>119</v>
      </c>
      <c r="C14" s="642"/>
      <c r="D14" s="642"/>
      <c r="E14" s="386"/>
      <c r="F14" s="387"/>
      <c r="G14" s="387"/>
      <c r="I14" s="417" t="s">
        <v>168</v>
      </c>
      <c r="J14" s="412"/>
      <c r="K14" s="411"/>
      <c r="L14" s="380"/>
      <c r="M14" s="411"/>
      <c r="N14" s="411"/>
      <c r="O14" s="380"/>
      <c r="P14" s="391">
        <v>0</v>
      </c>
      <c r="Q14" s="404"/>
      <c r="R14" s="676"/>
      <c r="S14" s="414" t="s">
        <v>313</v>
      </c>
      <c r="T14" s="415"/>
      <c r="U14" s="415"/>
      <c r="V14" s="415"/>
      <c r="W14" s="416"/>
      <c r="X14" s="402">
        <v>1.1178200000000001E-3</v>
      </c>
      <c r="Y14" s="378"/>
      <c r="Z14" s="409"/>
      <c r="AA14" s="410"/>
      <c r="AB14" s="405"/>
      <c r="AC14" s="378"/>
      <c r="AD14" s="378"/>
      <c r="AE14" s="378"/>
      <c r="AF14" s="378"/>
    </row>
    <row r="15" spans="2:32">
      <c r="B15" s="393" t="s">
        <v>296</v>
      </c>
      <c r="C15" s="394">
        <v>1.0149999999999999E-2</v>
      </c>
      <c r="D15" s="395">
        <v>3.3368999999999998E-4</v>
      </c>
      <c r="E15" s="396"/>
      <c r="F15" s="395">
        <v>8.0085599999999996E-3</v>
      </c>
      <c r="G15" s="397"/>
      <c r="I15" s="388" t="s">
        <v>119</v>
      </c>
      <c r="J15" s="418"/>
      <c r="K15" s="390"/>
      <c r="L15" s="380"/>
      <c r="M15" s="388"/>
      <c r="N15" s="390"/>
      <c r="O15" s="380"/>
      <c r="P15" s="391"/>
      <c r="Q15" s="404"/>
      <c r="R15" s="676"/>
      <c r="S15" s="662" t="s">
        <v>314</v>
      </c>
      <c r="T15" s="663"/>
      <c r="U15" s="666" t="s">
        <v>306</v>
      </c>
      <c r="V15" s="667"/>
      <c r="W15" s="668"/>
      <c r="X15" s="402">
        <v>1.1178200000000001E-3</v>
      </c>
      <c r="Y15" s="378"/>
      <c r="Z15" s="409"/>
      <c r="AA15" s="410"/>
      <c r="AB15" s="405"/>
      <c r="AC15" s="378"/>
      <c r="AD15" s="378"/>
      <c r="AE15" s="378"/>
      <c r="AF15" s="378"/>
    </row>
    <row r="16" spans="2:32">
      <c r="B16" s="393" t="s">
        <v>299</v>
      </c>
      <c r="C16" s="394">
        <v>1.3195E-2</v>
      </c>
      <c r="D16" s="395">
        <v>4.3378999999999998E-4</v>
      </c>
      <c r="E16" s="396"/>
      <c r="F16" s="395">
        <v>1.041096E-2</v>
      </c>
      <c r="G16" s="397"/>
      <c r="I16" s="398" t="s">
        <v>297</v>
      </c>
      <c r="J16" s="399">
        <v>0</v>
      </c>
      <c r="K16" s="397"/>
      <c r="L16" s="380">
        <v>0</v>
      </c>
      <c r="M16" s="391">
        <v>0</v>
      </c>
      <c r="N16" s="397"/>
      <c r="O16" s="380">
        <v>0</v>
      </c>
      <c r="P16" s="397"/>
      <c r="Q16" s="419"/>
      <c r="R16" s="676"/>
      <c r="S16" s="664"/>
      <c r="T16" s="665"/>
      <c r="U16" s="666" t="s">
        <v>309</v>
      </c>
      <c r="V16" s="667"/>
      <c r="W16" s="668"/>
      <c r="X16" s="402">
        <v>1.1178200000000001E-3</v>
      </c>
      <c r="Y16" s="378"/>
      <c r="Z16" s="409"/>
      <c r="AA16" s="410"/>
      <c r="AB16" s="405"/>
      <c r="AC16" s="378"/>
      <c r="AD16" s="378"/>
      <c r="AE16" s="378"/>
      <c r="AF16" s="378"/>
    </row>
    <row r="17" spans="2:32">
      <c r="B17" s="393" t="s">
        <v>302</v>
      </c>
      <c r="C17" s="394">
        <v>1.5224E-2</v>
      </c>
      <c r="D17" s="395">
        <v>5.0053000000000001E-4</v>
      </c>
      <c r="E17" s="396"/>
      <c r="F17" s="395">
        <v>1.2012719999999999E-2</v>
      </c>
      <c r="G17" s="397"/>
      <c r="I17" s="398" t="s">
        <v>300</v>
      </c>
      <c r="J17" s="399">
        <v>0</v>
      </c>
      <c r="K17" s="397"/>
      <c r="L17" s="380">
        <v>0</v>
      </c>
      <c r="M17" s="391">
        <v>0</v>
      </c>
      <c r="N17" s="397"/>
      <c r="O17" s="380">
        <v>0</v>
      </c>
      <c r="P17" s="397"/>
      <c r="R17" s="676"/>
      <c r="S17" s="420" t="s">
        <v>165</v>
      </c>
      <c r="T17" s="421"/>
      <c r="U17" s="422">
        <v>10000</v>
      </c>
      <c r="V17" s="423" t="s">
        <v>250</v>
      </c>
      <c r="W17" s="424">
        <v>100000</v>
      </c>
      <c r="X17" s="402">
        <v>1.1178200000000001E-3</v>
      </c>
      <c r="Y17" s="378"/>
      <c r="Z17" s="409"/>
      <c r="AA17" s="410"/>
      <c r="AB17" s="405"/>
      <c r="AC17" s="378"/>
      <c r="AD17" s="378"/>
      <c r="AE17" s="378"/>
      <c r="AF17" s="378"/>
    </row>
    <row r="18" spans="2:32">
      <c r="B18" s="393" t="s">
        <v>307</v>
      </c>
      <c r="C18" s="406"/>
      <c r="D18" s="407">
        <v>6.6737999999999997E-4</v>
      </c>
      <c r="E18" s="408"/>
      <c r="F18" s="407">
        <v>1.6017119999999999E-2</v>
      </c>
      <c r="G18" s="397"/>
      <c r="I18" s="398" t="s">
        <v>303</v>
      </c>
      <c r="J18" s="399">
        <v>0</v>
      </c>
      <c r="K18" s="397"/>
      <c r="L18" s="380">
        <v>0</v>
      </c>
      <c r="M18" s="391">
        <v>0</v>
      </c>
      <c r="N18" s="397"/>
      <c r="O18" s="380">
        <v>0</v>
      </c>
      <c r="P18" s="397"/>
      <c r="Q18" s="400"/>
      <c r="R18" s="677"/>
      <c r="S18" s="425"/>
      <c r="T18" s="426"/>
      <c r="U18" s="669" t="s">
        <v>315</v>
      </c>
      <c r="V18" s="670"/>
      <c r="W18" s="671"/>
      <c r="X18" s="402">
        <v>1.1178200000000001E-3</v>
      </c>
      <c r="Y18" s="378"/>
      <c r="Z18" s="409"/>
      <c r="AA18" s="410"/>
      <c r="AB18" s="405"/>
      <c r="AC18" s="378"/>
      <c r="AD18" s="378"/>
      <c r="AE18" s="378"/>
      <c r="AF18" s="378"/>
    </row>
    <row r="19" spans="2:32">
      <c r="B19" s="393" t="s">
        <v>310</v>
      </c>
      <c r="C19" s="406"/>
      <c r="D19" s="407">
        <v>7.3410999999999995E-4</v>
      </c>
      <c r="E19" s="408"/>
      <c r="F19" s="411"/>
      <c r="G19" s="395">
        <v>7.3410999999999995E-4</v>
      </c>
      <c r="I19" s="398" t="s">
        <v>308</v>
      </c>
      <c r="J19" s="399">
        <v>0</v>
      </c>
      <c r="K19" s="397"/>
      <c r="L19" s="380">
        <v>0</v>
      </c>
      <c r="M19" s="391">
        <v>0</v>
      </c>
      <c r="N19" s="397"/>
      <c r="O19" s="380">
        <v>0</v>
      </c>
      <c r="P19" s="397"/>
      <c r="R19" s="675" t="s">
        <v>316</v>
      </c>
      <c r="S19" s="662" t="s">
        <v>305</v>
      </c>
      <c r="T19" s="663"/>
      <c r="U19" s="422">
        <v>10000</v>
      </c>
      <c r="V19" s="423" t="s">
        <v>250</v>
      </c>
      <c r="W19" s="424">
        <v>700000</v>
      </c>
      <c r="X19" s="402">
        <v>1.12162E-3</v>
      </c>
      <c r="Y19" s="378"/>
      <c r="Z19" s="409"/>
      <c r="AA19" s="410"/>
      <c r="AB19" s="405"/>
      <c r="AC19" s="378"/>
      <c r="AD19" s="378"/>
      <c r="AE19" s="378"/>
      <c r="AF19" s="378"/>
    </row>
    <row r="20" spans="2:32">
      <c r="B20" s="642" t="s">
        <v>166</v>
      </c>
      <c r="C20" s="642"/>
      <c r="D20" s="642"/>
      <c r="E20" s="386"/>
      <c r="F20" s="387"/>
      <c r="G20" s="387"/>
      <c r="I20" s="398" t="s">
        <v>311</v>
      </c>
      <c r="J20" s="412"/>
      <c r="K20" s="391">
        <v>0</v>
      </c>
      <c r="L20" s="380">
        <v>0</v>
      </c>
      <c r="M20" s="411"/>
      <c r="N20" s="391">
        <v>0</v>
      </c>
      <c r="O20" s="380">
        <v>0</v>
      </c>
      <c r="P20" s="427"/>
      <c r="Q20" s="404"/>
      <c r="R20" s="676"/>
      <c r="S20" s="664"/>
      <c r="T20" s="665"/>
      <c r="U20" s="666" t="s">
        <v>317</v>
      </c>
      <c r="V20" s="667"/>
      <c r="W20" s="668"/>
      <c r="X20" s="402">
        <v>1.12162E-3</v>
      </c>
      <c r="Y20" s="378"/>
      <c r="Z20" s="409"/>
      <c r="AA20" s="410"/>
      <c r="AB20" s="405"/>
      <c r="AC20" s="378"/>
      <c r="AD20" s="378"/>
      <c r="AE20" s="378"/>
      <c r="AF20" s="378"/>
    </row>
    <row r="21" spans="2:32">
      <c r="B21" s="428" t="s">
        <v>318</v>
      </c>
      <c r="C21" s="413"/>
      <c r="D21" s="391">
        <v>9.3600000000000002E-6</v>
      </c>
      <c r="F21" s="391">
        <v>2.2463999999999999E-4</v>
      </c>
      <c r="G21" s="397"/>
      <c r="I21" s="417" t="s">
        <v>168</v>
      </c>
      <c r="J21" s="412"/>
      <c r="K21" s="411"/>
      <c r="L21" s="380">
        <v>0</v>
      </c>
      <c r="M21" s="411"/>
      <c r="N21" s="411"/>
      <c r="O21" s="380">
        <v>0</v>
      </c>
      <c r="P21" s="429">
        <v>0</v>
      </c>
      <c r="Q21" s="404"/>
      <c r="R21" s="676"/>
      <c r="S21" s="414" t="s">
        <v>312</v>
      </c>
      <c r="T21" s="415"/>
      <c r="U21" s="415"/>
      <c r="V21" s="415"/>
      <c r="W21" s="416"/>
      <c r="X21" s="402">
        <v>1.12162E-3</v>
      </c>
      <c r="Y21" s="378"/>
      <c r="Z21" s="409"/>
      <c r="AA21" s="410"/>
      <c r="AB21" s="405"/>
      <c r="AC21" s="378"/>
      <c r="AD21" s="378"/>
      <c r="AE21" s="378"/>
      <c r="AF21" s="378"/>
    </row>
    <row r="22" spans="2:32">
      <c r="B22" s="393" t="s">
        <v>310</v>
      </c>
      <c r="C22" s="413"/>
      <c r="D22" s="391">
        <v>1.03E-5</v>
      </c>
      <c r="F22" s="397"/>
      <c r="G22" s="395">
        <v>1.03E-5</v>
      </c>
      <c r="O22" s="380"/>
      <c r="Q22" s="404"/>
      <c r="R22" s="676"/>
      <c r="S22" s="414" t="s">
        <v>313</v>
      </c>
      <c r="T22" s="415"/>
      <c r="U22" s="415"/>
      <c r="V22" s="415"/>
      <c r="W22" s="416"/>
      <c r="X22" s="402">
        <v>1.12162E-3</v>
      </c>
      <c r="Y22" s="378"/>
      <c r="Z22" s="409"/>
      <c r="AA22" s="410"/>
      <c r="AB22" s="405"/>
      <c r="AC22" s="378"/>
      <c r="AD22" s="378"/>
      <c r="AE22" s="378"/>
      <c r="AF22" s="378"/>
    </row>
    <row r="23" spans="2:32">
      <c r="C23" s="369"/>
      <c r="D23" s="369"/>
      <c r="O23" s="380"/>
      <c r="Q23" s="404"/>
      <c r="R23" s="676"/>
      <c r="S23" s="662" t="s">
        <v>314</v>
      </c>
      <c r="T23" s="663"/>
      <c r="U23" s="422">
        <v>10000</v>
      </c>
      <c r="V23" s="423" t="s">
        <v>250</v>
      </c>
      <c r="W23" s="424">
        <v>700000</v>
      </c>
      <c r="X23" s="402">
        <v>1.12162E-3</v>
      </c>
      <c r="Y23" s="378"/>
      <c r="Z23" s="409"/>
      <c r="AA23" s="410"/>
      <c r="AB23" s="405"/>
      <c r="AC23" s="378"/>
      <c r="AD23" s="378"/>
      <c r="AE23" s="378"/>
      <c r="AF23" s="378"/>
    </row>
    <row r="24" spans="2:32">
      <c r="I24" s="388" t="s">
        <v>319</v>
      </c>
      <c r="J24" s="389"/>
      <c r="K24" s="390"/>
      <c r="O24" s="380"/>
      <c r="Q24" s="404"/>
      <c r="R24" s="676"/>
      <c r="S24" s="664"/>
      <c r="T24" s="665"/>
      <c r="U24" s="666" t="s">
        <v>317</v>
      </c>
      <c r="V24" s="667"/>
      <c r="W24" s="668"/>
      <c r="X24" s="402">
        <v>1.12162E-3</v>
      </c>
      <c r="Y24" s="378"/>
      <c r="Z24" s="409"/>
      <c r="AA24" s="410"/>
      <c r="AB24" s="405"/>
      <c r="AC24" s="378"/>
      <c r="AD24" s="378"/>
      <c r="AE24" s="378"/>
      <c r="AF24" s="378"/>
    </row>
    <row r="25" spans="2:32">
      <c r="I25" s="430" t="s">
        <v>320</v>
      </c>
      <c r="J25" s="430"/>
      <c r="K25" s="430"/>
      <c r="O25" s="380"/>
      <c r="Q25" s="419"/>
      <c r="R25" s="676"/>
      <c r="S25" s="420" t="s">
        <v>165</v>
      </c>
      <c r="T25" s="421"/>
      <c r="U25" s="422">
        <v>10000</v>
      </c>
      <c r="V25" s="423" t="s">
        <v>250</v>
      </c>
      <c r="W25" s="424">
        <v>100000</v>
      </c>
      <c r="X25" s="402">
        <v>1.12162E-3</v>
      </c>
      <c r="Y25" s="378"/>
      <c r="Z25" s="409"/>
      <c r="AA25" s="410"/>
      <c r="AB25" s="405"/>
      <c r="AC25" s="378"/>
      <c r="AD25" s="378"/>
      <c r="AE25" s="378"/>
      <c r="AF25" s="378"/>
    </row>
    <row r="26" spans="2:32" ht="15.6">
      <c r="I26" s="678" t="s">
        <v>321</v>
      </c>
      <c r="J26" s="431" t="s">
        <v>322</v>
      </c>
      <c r="K26" s="432">
        <v>1.7580999999999999E-2</v>
      </c>
      <c r="Q26" s="433"/>
      <c r="R26" s="676"/>
      <c r="S26" s="425"/>
      <c r="T26" s="426"/>
      <c r="U26" s="669" t="s">
        <v>315</v>
      </c>
      <c r="V26" s="670"/>
      <c r="W26" s="671"/>
      <c r="X26" s="402">
        <v>1.12162E-3</v>
      </c>
      <c r="Y26" s="378"/>
      <c r="Z26" s="409"/>
      <c r="AA26" s="410"/>
      <c r="AB26" s="405"/>
      <c r="AC26" s="378"/>
      <c r="AD26" s="378"/>
      <c r="AE26" s="378"/>
      <c r="AF26" s="378"/>
    </row>
    <row r="27" spans="2:32" ht="15.6">
      <c r="I27" s="679"/>
      <c r="J27" s="431" t="s">
        <v>323</v>
      </c>
      <c r="K27" s="432">
        <v>1.7580999999999999E-2</v>
      </c>
      <c r="Q27" s="433"/>
      <c r="R27" s="680" t="s">
        <v>324</v>
      </c>
      <c r="S27" s="683" t="s">
        <v>325</v>
      </c>
      <c r="T27" s="434" t="s">
        <v>326</v>
      </c>
      <c r="U27" s="422">
        <v>0</v>
      </c>
      <c r="V27" s="423" t="s">
        <v>250</v>
      </c>
      <c r="W27" s="424">
        <v>220</v>
      </c>
      <c r="X27" s="402">
        <v>1.12162E-3</v>
      </c>
      <c r="Y27" s="435"/>
      <c r="Z27" s="409"/>
      <c r="AA27" s="410"/>
      <c r="AB27" s="405"/>
      <c r="AC27" s="378"/>
      <c r="AD27" s="378"/>
      <c r="AE27" s="378"/>
      <c r="AF27" s="378"/>
    </row>
    <row r="28" spans="2:32" ht="15.6">
      <c r="I28" s="678" t="s">
        <v>327</v>
      </c>
      <c r="J28" s="431" t="s">
        <v>322</v>
      </c>
      <c r="K28" s="429">
        <v>3.5756999999999998E-4</v>
      </c>
      <c r="Q28" s="433"/>
      <c r="R28" s="681"/>
      <c r="S28" s="684"/>
      <c r="T28" s="434" t="s">
        <v>328</v>
      </c>
      <c r="U28" s="422">
        <v>221</v>
      </c>
      <c r="V28" s="423" t="s">
        <v>250</v>
      </c>
      <c r="W28" s="424">
        <v>500</v>
      </c>
      <c r="X28" s="402">
        <v>1.12162E-3</v>
      </c>
    </row>
    <row r="29" spans="2:32" ht="15.6">
      <c r="B29" s="436" t="s">
        <v>329</v>
      </c>
      <c r="C29" s="437" t="s">
        <v>182</v>
      </c>
      <c r="D29" s="438"/>
      <c r="E29" s="439"/>
      <c r="F29" s="438"/>
      <c r="I29" s="679"/>
      <c r="J29" s="431" t="s">
        <v>323</v>
      </c>
      <c r="K29" s="429">
        <v>1.43E-5</v>
      </c>
      <c r="L29" s="438"/>
      <c r="M29" s="438"/>
      <c r="N29" s="438"/>
      <c r="Q29" s="433"/>
      <c r="R29" s="681"/>
      <c r="S29" s="684"/>
      <c r="T29" s="434" t="s">
        <v>330</v>
      </c>
      <c r="U29" s="422">
        <v>501</v>
      </c>
      <c r="V29" s="423" t="s">
        <v>250</v>
      </c>
      <c r="W29" s="424">
        <v>1000</v>
      </c>
      <c r="X29" s="402">
        <v>1.12162E-3</v>
      </c>
    </row>
    <row r="30" spans="2:32">
      <c r="B30" s="688" t="s">
        <v>295</v>
      </c>
      <c r="C30" s="689"/>
      <c r="D30" s="440"/>
      <c r="E30" s="441"/>
      <c r="F30" s="440"/>
      <c r="I30" s="442" t="s">
        <v>331</v>
      </c>
      <c r="J30" s="443"/>
      <c r="K30" s="444"/>
      <c r="L30" s="440"/>
      <c r="M30" s="440"/>
      <c r="N30" s="440"/>
      <c r="Q30" s="433"/>
      <c r="R30" s="682"/>
      <c r="S30" s="685"/>
      <c r="T30" s="434" t="s">
        <v>332</v>
      </c>
      <c r="U30" s="422">
        <v>1001</v>
      </c>
      <c r="V30" s="423" t="s">
        <v>250</v>
      </c>
      <c r="W30" s="424">
        <v>10000</v>
      </c>
      <c r="X30" s="402">
        <v>1.12162E-3</v>
      </c>
    </row>
    <row r="31" spans="2:32">
      <c r="B31" s="445" t="s">
        <v>333</v>
      </c>
      <c r="C31" s="446">
        <v>1.3</v>
      </c>
      <c r="D31" s="447"/>
      <c r="E31" s="448"/>
      <c r="F31" s="447"/>
      <c r="I31" s="449" t="s">
        <v>327</v>
      </c>
      <c r="J31" s="449"/>
      <c r="K31" s="429">
        <v>1.4207499999999999E-3</v>
      </c>
      <c r="L31" s="450"/>
      <c r="M31" s="450"/>
      <c r="N31" s="450"/>
    </row>
    <row r="32" spans="2:32">
      <c r="B32" s="445" t="s">
        <v>334</v>
      </c>
      <c r="C32" s="446">
        <v>1.5</v>
      </c>
      <c r="D32" s="447"/>
      <c r="E32" s="448"/>
      <c r="F32" s="447"/>
      <c r="L32" s="450"/>
      <c r="M32" s="450"/>
      <c r="N32" s="450"/>
    </row>
    <row r="33" spans="2:14" ht="14.4" customHeight="1">
      <c r="B33" s="445" t="s">
        <v>335</v>
      </c>
      <c r="C33" s="446">
        <v>2</v>
      </c>
      <c r="D33" s="447"/>
      <c r="E33" s="448"/>
      <c r="F33" s="447"/>
      <c r="L33" s="451"/>
      <c r="M33" s="451"/>
      <c r="N33" s="451"/>
    </row>
    <row r="34" spans="2:14">
      <c r="B34" s="445" t="s">
        <v>336</v>
      </c>
      <c r="C34" s="446">
        <v>2.2000000000000002</v>
      </c>
      <c r="D34" s="447"/>
      <c r="E34" s="448"/>
      <c r="F34" s="447"/>
      <c r="I34" s="688" t="s">
        <v>337</v>
      </c>
      <c r="J34" s="689"/>
      <c r="K34" s="437"/>
      <c r="L34" s="451"/>
      <c r="M34" s="451"/>
      <c r="N34" s="451"/>
    </row>
    <row r="35" spans="2:14">
      <c r="B35" s="688" t="s">
        <v>119</v>
      </c>
      <c r="C35" s="689"/>
      <c r="D35" s="440"/>
      <c r="E35" s="441"/>
      <c r="F35" s="440"/>
      <c r="I35" s="688" t="s">
        <v>338</v>
      </c>
      <c r="J35" s="690"/>
      <c r="K35" s="689"/>
    </row>
    <row r="36" spans="2:14" ht="15.6">
      <c r="B36" s="445" t="s">
        <v>333</v>
      </c>
      <c r="C36" s="446">
        <v>1.3</v>
      </c>
      <c r="D36" s="447"/>
      <c r="E36" s="448"/>
      <c r="F36" s="447"/>
      <c r="I36" s="686" t="s">
        <v>339</v>
      </c>
      <c r="J36" s="452" t="s">
        <v>322</v>
      </c>
      <c r="K36" s="453">
        <v>5.45E-3</v>
      </c>
    </row>
    <row r="37" spans="2:14" ht="15.6">
      <c r="B37" s="445" t="s">
        <v>334</v>
      </c>
      <c r="C37" s="446">
        <v>1.5</v>
      </c>
      <c r="D37" s="447"/>
      <c r="E37" s="448"/>
      <c r="F37" s="447"/>
      <c r="I37" s="687"/>
      <c r="J37" s="452" t="s">
        <v>323</v>
      </c>
      <c r="K37" s="453">
        <v>5.45E-3</v>
      </c>
    </row>
    <row r="38" spans="2:14" ht="15.6">
      <c r="B38" s="445" t="s">
        <v>335</v>
      </c>
      <c r="C38" s="446">
        <v>2</v>
      </c>
      <c r="D38" s="447"/>
      <c r="E38" s="448"/>
      <c r="F38" s="447"/>
      <c r="I38" s="686" t="s">
        <v>327</v>
      </c>
      <c r="J38" s="452" t="s">
        <v>322</v>
      </c>
      <c r="K38" s="454">
        <v>1.9907800000000002E-3</v>
      </c>
    </row>
    <row r="39" spans="2:14" ht="15.6">
      <c r="B39" s="445" t="s">
        <v>336</v>
      </c>
      <c r="C39" s="446">
        <v>2.2000000000000002</v>
      </c>
      <c r="D39" s="447"/>
      <c r="E39" s="448"/>
      <c r="F39" s="447"/>
      <c r="I39" s="687"/>
      <c r="J39" s="452" t="s">
        <v>323</v>
      </c>
      <c r="K39" s="454">
        <v>1.63178E-3</v>
      </c>
    </row>
    <row r="40" spans="2:14">
      <c r="B40" s="688" t="s">
        <v>340</v>
      </c>
      <c r="C40" s="689"/>
      <c r="D40" s="440"/>
      <c r="E40" s="441"/>
      <c r="F40" s="440"/>
      <c r="I40" s="455"/>
      <c r="J40" s="455"/>
      <c r="K40" s="455"/>
    </row>
    <row r="41" spans="2:14">
      <c r="B41" s="445" t="s">
        <v>335</v>
      </c>
      <c r="C41" s="446">
        <v>1</v>
      </c>
      <c r="D41" s="447"/>
      <c r="E41" s="448"/>
      <c r="F41" s="447"/>
    </row>
    <row r="42" spans="2:14">
      <c r="B42" s="445" t="s">
        <v>336</v>
      </c>
      <c r="C42" s="446">
        <v>1.1000000000000001</v>
      </c>
      <c r="D42" s="447"/>
      <c r="E42" s="448"/>
      <c r="F42" s="447"/>
      <c r="I42" s="456" t="s">
        <v>341</v>
      </c>
      <c r="J42" s="457"/>
      <c r="K42" s="455"/>
    </row>
    <row r="43" spans="2:14">
      <c r="I43" s="456" t="s">
        <v>338</v>
      </c>
      <c r="J43" s="437" t="s">
        <v>342</v>
      </c>
    </row>
    <row r="44" spans="2:14">
      <c r="I44" s="428" t="s">
        <v>343</v>
      </c>
      <c r="J44" s="453">
        <v>3.4680000000000002E-3</v>
      </c>
    </row>
    <row r="45" spans="2:14">
      <c r="I45" s="428" t="s">
        <v>344</v>
      </c>
      <c r="J45" s="453">
        <v>5.7800000000000004E-3</v>
      </c>
    </row>
    <row r="46" spans="2:14">
      <c r="I46" s="428" t="s">
        <v>327</v>
      </c>
      <c r="J46" s="454">
        <v>1.43E-5</v>
      </c>
    </row>
    <row r="48" spans="2:14">
      <c r="I48" s="456" t="s">
        <v>345</v>
      </c>
      <c r="J48" s="457"/>
    </row>
    <row r="49" spans="9:10">
      <c r="I49" s="456" t="s">
        <v>338</v>
      </c>
      <c r="J49" s="437" t="s">
        <v>342</v>
      </c>
    </row>
    <row r="50" spans="9:10">
      <c r="I50" s="428" t="s">
        <v>346</v>
      </c>
      <c r="J50" s="453">
        <v>2.6370999999999999E-2</v>
      </c>
    </row>
    <row r="51" spans="9:10">
      <c r="I51" s="428" t="s">
        <v>347</v>
      </c>
      <c r="J51" s="453">
        <v>5.2741999999999997E-2</v>
      </c>
    </row>
    <row r="52" spans="9:10">
      <c r="I52" s="428" t="s">
        <v>327</v>
      </c>
      <c r="J52" s="454">
        <v>1.43E-5</v>
      </c>
    </row>
    <row r="54" spans="9:10">
      <c r="I54" s="456" t="s">
        <v>348</v>
      </c>
      <c r="J54" s="457"/>
    </row>
    <row r="55" spans="9:10">
      <c r="I55" s="456" t="s">
        <v>338</v>
      </c>
      <c r="J55" s="437" t="s">
        <v>342</v>
      </c>
    </row>
    <row r="56" spans="9:10">
      <c r="I56" s="428" t="s">
        <v>349</v>
      </c>
      <c r="J56" s="453">
        <v>1.7580999999999999E-2</v>
      </c>
    </row>
    <row r="57" spans="9:10">
      <c r="I57" s="428" t="s">
        <v>346</v>
      </c>
      <c r="J57" s="453">
        <v>2.6370999999999999E-2</v>
      </c>
    </row>
    <row r="58" spans="9:10">
      <c r="I58" s="428" t="s">
        <v>327</v>
      </c>
      <c r="J58" s="454">
        <v>1.43E-5</v>
      </c>
    </row>
  </sheetData>
  <mergeCells count="40">
    <mergeCell ref="I38:I39"/>
    <mergeCell ref="B40:C40"/>
    <mergeCell ref="I28:I29"/>
    <mergeCell ref="B30:C30"/>
    <mergeCell ref="I34:J34"/>
    <mergeCell ref="B35:C35"/>
    <mergeCell ref="I35:K35"/>
    <mergeCell ref="I36:I37"/>
    <mergeCell ref="R19:R26"/>
    <mergeCell ref="S19:T20"/>
    <mergeCell ref="B20:D20"/>
    <mergeCell ref="U20:W20"/>
    <mergeCell ref="S23:T24"/>
    <mergeCell ref="U24:W24"/>
    <mergeCell ref="I26:I27"/>
    <mergeCell ref="U26:W26"/>
    <mergeCell ref="R27:R30"/>
    <mergeCell ref="S27:S30"/>
    <mergeCell ref="R10:W10"/>
    <mergeCell ref="R11:R18"/>
    <mergeCell ref="S11:T12"/>
    <mergeCell ref="U11:W11"/>
    <mergeCell ref="U12:W12"/>
    <mergeCell ref="B14:D14"/>
    <mergeCell ref="S15:T16"/>
    <mergeCell ref="U15:W15"/>
    <mergeCell ref="U16:W16"/>
    <mergeCell ref="U18:W18"/>
    <mergeCell ref="R6:X6"/>
    <mergeCell ref="R7:R9"/>
    <mergeCell ref="S7:S9"/>
    <mergeCell ref="T7:T9"/>
    <mergeCell ref="U7:W9"/>
    <mergeCell ref="J6:K6"/>
    <mergeCell ref="M6:N6"/>
    <mergeCell ref="B8:D8"/>
    <mergeCell ref="B6:B7"/>
    <mergeCell ref="C6:D6"/>
    <mergeCell ref="F6:G6"/>
    <mergeCell ref="I6:I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AG76"/>
  <sheetViews>
    <sheetView showGridLines="0" topLeftCell="A4" zoomScale="90" zoomScaleNormal="90" workbookViewId="0">
      <selection activeCell="H37" sqref="H37"/>
    </sheetView>
  </sheetViews>
  <sheetFormatPr defaultRowHeight="14.4"/>
  <cols>
    <col min="1" max="1" width="2.88671875" customWidth="1"/>
    <col min="2" max="2" width="4.77734375" customWidth="1"/>
    <col min="3" max="3" width="49.6640625" bestFit="1" customWidth="1"/>
    <col min="4" max="4" width="20.88671875" bestFit="1" customWidth="1"/>
    <col min="5" max="5" width="30.109375" bestFit="1" customWidth="1"/>
    <col min="6" max="6" width="39.77734375" customWidth="1"/>
    <col min="7" max="7" width="23.33203125" customWidth="1"/>
    <col min="8" max="8" width="12.77734375" bestFit="1" customWidth="1"/>
    <col min="9" max="9" width="6.21875" bestFit="1" customWidth="1"/>
    <col min="11" max="11" width="45.33203125" bestFit="1" customWidth="1"/>
    <col min="12" max="12" width="15.6640625" customWidth="1"/>
    <col min="13" max="14" width="21.88671875" customWidth="1"/>
    <col min="16" max="16" width="6.21875" customWidth="1"/>
    <col min="17" max="27" width="6.44140625" customWidth="1"/>
    <col min="28" max="28" width="60.109375" bestFit="1" customWidth="1"/>
    <col min="29" max="29" width="17.77734375" bestFit="1" customWidth="1"/>
    <col min="30" max="30" width="18.21875" bestFit="1" customWidth="1"/>
    <col min="31" max="31" width="60.109375" bestFit="1" customWidth="1"/>
    <col min="32" max="32" width="17.77734375" bestFit="1" customWidth="1"/>
    <col min="33" max="33" width="18.21875" bestFit="1" customWidth="1"/>
  </cols>
  <sheetData>
    <row r="2" spans="2:4" ht="15" thickBot="1">
      <c r="B2" s="45"/>
      <c r="C2" s="220"/>
      <c r="D2" s="221"/>
    </row>
    <row r="3" spans="2:4" ht="15" thickBot="1">
      <c r="B3" s="90" t="s">
        <v>208</v>
      </c>
      <c r="C3" s="222"/>
      <c r="D3" s="223"/>
    </row>
    <row r="4" spans="2:4">
      <c r="B4" s="224"/>
      <c r="C4" s="225" t="s">
        <v>209</v>
      </c>
      <c r="D4" s="226" t="s">
        <v>21</v>
      </c>
    </row>
    <row r="5" spans="2:4">
      <c r="B5" s="227" t="s">
        <v>210</v>
      </c>
      <c r="C5" s="228" t="s">
        <v>211</v>
      </c>
      <c r="D5" s="229" t="s">
        <v>117</v>
      </c>
    </row>
    <row r="6" spans="2:4" ht="15" thickBot="1">
      <c r="B6" s="227" t="s">
        <v>210</v>
      </c>
      <c r="C6" s="228" t="s">
        <v>212</v>
      </c>
      <c r="D6" s="229" t="s">
        <v>213</v>
      </c>
    </row>
    <row r="7" spans="2:4" ht="15" thickBot="1">
      <c r="B7" s="230" t="s">
        <v>214</v>
      </c>
      <c r="C7" s="231" t="s">
        <v>215</v>
      </c>
      <c r="D7" s="232" t="s">
        <v>142</v>
      </c>
    </row>
    <row r="8" spans="2:4" ht="15" thickBot="1">
      <c r="B8" s="90" t="s">
        <v>216</v>
      </c>
      <c r="C8" s="222"/>
      <c r="D8" s="223"/>
    </row>
    <row r="9" spans="2:4">
      <c r="B9" s="224"/>
      <c r="C9" s="225" t="s">
        <v>215</v>
      </c>
      <c r="D9" s="226" t="s">
        <v>142</v>
      </c>
    </row>
    <row r="10" spans="2:4">
      <c r="B10" s="227" t="s">
        <v>217</v>
      </c>
      <c r="C10" s="228" t="s">
        <v>257</v>
      </c>
      <c r="D10" s="229" t="s">
        <v>179</v>
      </c>
    </row>
    <row r="11" spans="2:4">
      <c r="B11" s="227" t="s">
        <v>217</v>
      </c>
      <c r="C11" s="228" t="s">
        <v>258</v>
      </c>
      <c r="D11" s="229" t="s">
        <v>142</v>
      </c>
    </row>
    <row r="12" spans="2:4" ht="15" thickBot="1">
      <c r="B12" s="227" t="s">
        <v>217</v>
      </c>
      <c r="C12" s="233" t="s">
        <v>218</v>
      </c>
      <c r="D12" s="229" t="s">
        <v>117</v>
      </c>
    </row>
    <row r="13" spans="2:4" ht="15" thickBot="1">
      <c r="B13" s="230" t="s">
        <v>214</v>
      </c>
      <c r="C13" s="231" t="s">
        <v>219</v>
      </c>
      <c r="D13" s="232" t="s">
        <v>220</v>
      </c>
    </row>
    <row r="14" spans="2:4" ht="15" thickBot="1">
      <c r="B14" s="90" t="s">
        <v>259</v>
      </c>
      <c r="C14" s="222"/>
      <c r="D14" s="223"/>
    </row>
    <row r="15" spans="2:4">
      <c r="B15" s="224"/>
      <c r="C15" s="225" t="s">
        <v>219</v>
      </c>
      <c r="D15" s="226" t="s">
        <v>220</v>
      </c>
    </row>
    <row r="16" spans="2:4">
      <c r="B16" s="227" t="s">
        <v>217</v>
      </c>
      <c r="C16" s="228" t="s">
        <v>221</v>
      </c>
      <c r="D16" s="229" t="s">
        <v>142</v>
      </c>
    </row>
    <row r="17" spans="2:14">
      <c r="B17" s="227" t="s">
        <v>217</v>
      </c>
      <c r="C17" s="228" t="s">
        <v>222</v>
      </c>
      <c r="D17" s="229" t="s">
        <v>117</v>
      </c>
    </row>
    <row r="18" spans="2:14">
      <c r="B18" s="227" t="s">
        <v>217</v>
      </c>
      <c r="C18" s="228" t="s">
        <v>257</v>
      </c>
      <c r="D18" s="229" t="s">
        <v>179</v>
      </c>
    </row>
    <row r="19" spans="2:14" ht="15" thickBot="1">
      <c r="B19" s="227" t="s">
        <v>217</v>
      </c>
      <c r="C19" s="233" t="s">
        <v>223</v>
      </c>
      <c r="D19" s="229" t="s">
        <v>224</v>
      </c>
    </row>
    <row r="20" spans="2:14" ht="15" thickBot="1">
      <c r="B20" s="230" t="s">
        <v>214</v>
      </c>
      <c r="C20" s="231" t="s">
        <v>225</v>
      </c>
      <c r="D20" s="232" t="s">
        <v>220</v>
      </c>
    </row>
    <row r="21" spans="2:14" ht="15" thickBot="1"/>
    <row r="22" spans="2:14" ht="15" thickBot="1">
      <c r="E22" s="234" t="s">
        <v>226</v>
      </c>
      <c r="F22" s="235" t="s">
        <v>227</v>
      </c>
      <c r="G22" s="241" t="s">
        <v>228</v>
      </c>
      <c r="H22" s="241"/>
      <c r="I22" s="242"/>
    </row>
    <row r="23" spans="2:14">
      <c r="E23" s="236" t="s">
        <v>229</v>
      </c>
      <c r="F23" s="237" t="s">
        <v>230</v>
      </c>
      <c r="G23" s="248"/>
      <c r="H23" s="249">
        <f>Inputs!C5/1000</f>
        <v>92840</v>
      </c>
      <c r="I23" s="250" t="s">
        <v>239</v>
      </c>
    </row>
    <row r="24" spans="2:14">
      <c r="E24" s="238" t="s">
        <v>231</v>
      </c>
      <c r="F24" s="239" t="s">
        <v>232</v>
      </c>
      <c r="G24" s="243"/>
      <c r="H24" s="247">
        <f>H23</f>
        <v>92840</v>
      </c>
      <c r="I24" s="251" t="str">
        <f>I23</f>
        <v>mil €</v>
      </c>
    </row>
    <row r="25" spans="2:14" ht="16.05" customHeight="1">
      <c r="E25" s="244" t="s">
        <v>233</v>
      </c>
      <c r="F25" s="245" t="s">
        <v>234</v>
      </c>
      <c r="G25" s="255" t="s">
        <v>167</v>
      </c>
      <c r="H25" s="289">
        <f>1-H26</f>
        <v>0.98638103044345271</v>
      </c>
      <c r="I25" s="252"/>
      <c r="J25" s="22"/>
    </row>
    <row r="26" spans="2:14" ht="16.05" customHeight="1">
      <c r="E26" s="240"/>
      <c r="F26" s="246"/>
      <c r="G26" s="256" t="s">
        <v>168</v>
      </c>
      <c r="H26" s="288">
        <f>SUM(Reconcile_RPM!L44:P45,Reconcile_RPM!O46:P46,Reconcile_RPM!N52:O54,Reconcile_RPM!N58+Reconcile_RPM!N62+Reconcile_RPM!N66+Reconcile_RPM!N69)*Reconcile_RPM!U78/Inputs!C5</f>
        <v>1.3618969556547322E-2</v>
      </c>
      <c r="I26" s="253"/>
      <c r="J26" s="22"/>
    </row>
    <row r="27" spans="2:14" ht="16.05" customHeight="1">
      <c r="E27" s="244" t="s">
        <v>235</v>
      </c>
      <c r="F27" s="691" t="s">
        <v>236</v>
      </c>
      <c r="G27" s="255" t="s">
        <v>240</v>
      </c>
      <c r="H27" s="612">
        <f>'E-X Split'!AA16</f>
        <v>0.40552280270451863</v>
      </c>
      <c r="I27" s="252"/>
      <c r="J27" s="22"/>
    </row>
    <row r="28" spans="2:14" ht="16.05" customHeight="1">
      <c r="E28" s="240"/>
      <c r="F28" s="692"/>
      <c r="G28" s="256" t="s">
        <v>241</v>
      </c>
      <c r="H28" s="613">
        <f>1-H27</f>
        <v>0.59447719729548143</v>
      </c>
      <c r="I28" s="253"/>
      <c r="J28" s="22"/>
    </row>
    <row r="29" spans="2:14" ht="16.05" customHeight="1">
      <c r="E29" s="244" t="s">
        <v>237</v>
      </c>
      <c r="F29" s="691" t="s">
        <v>238</v>
      </c>
      <c r="G29" s="255" t="s">
        <v>484</v>
      </c>
      <c r="H29" s="486">
        <f>CAA_RPM!AC64</f>
        <v>0</v>
      </c>
      <c r="I29" s="252"/>
      <c r="J29" s="22"/>
      <c r="L29" s="290"/>
    </row>
    <row r="30" spans="2:14" ht="16.05" customHeight="1" thickBot="1">
      <c r="E30" s="254"/>
      <c r="F30" s="693"/>
      <c r="G30" s="257" t="s">
        <v>485</v>
      </c>
      <c r="H30" s="487">
        <f>1-H29</f>
        <v>1</v>
      </c>
      <c r="I30" s="134"/>
      <c r="J30" s="22"/>
    </row>
    <row r="31" spans="2:14" ht="15" thickBot="1"/>
    <row r="32" spans="2:14" ht="15" thickBot="1">
      <c r="K32" s="113" t="s">
        <v>253</v>
      </c>
      <c r="L32" s="300" t="s">
        <v>255</v>
      </c>
      <c r="M32" s="694" t="s">
        <v>254</v>
      </c>
      <c r="N32" s="695"/>
    </row>
    <row r="33" spans="11:27" ht="15" thickBot="1">
      <c r="K33" s="187"/>
      <c r="L33" s="301"/>
      <c r="M33" s="302" t="s">
        <v>240</v>
      </c>
      <c r="N33" s="302" t="s">
        <v>241</v>
      </c>
    </row>
    <row r="34" spans="11:27">
      <c r="K34" s="299" t="str">
        <f>List!B4&amp;" - " &amp;List!A4</f>
        <v>A - Campo Maior</v>
      </c>
      <c r="L34" s="292" t="str">
        <f>List!C4</f>
        <v>IP</v>
      </c>
      <c r="M34" s="293">
        <f>IF(List!F4="","-",List!F4)</f>
        <v>142061.92800000001</v>
      </c>
      <c r="N34" s="298">
        <f>IF(List!G4="","-",List!G4)</f>
        <v>0</v>
      </c>
    </row>
    <row r="35" spans="11:27">
      <c r="K35" s="203" t="str">
        <f>List!B5&amp;" - " &amp;List!A5</f>
        <v>B - Valença do Minho</v>
      </c>
      <c r="L35" s="5" t="str">
        <f>List!C5</f>
        <v>IP</v>
      </c>
      <c r="M35" s="291">
        <f>IF(List!F5="","-",List!F5)</f>
        <v>19167.987000000001</v>
      </c>
      <c r="N35" s="294">
        <f>IF(List!G5="","-",List!G5)</f>
        <v>16184.186116098101</v>
      </c>
    </row>
    <row r="36" spans="11:27">
      <c r="K36" s="203" t="str">
        <f>List!B6&amp;" - " &amp;List!A6</f>
        <v>C - Terminal de Sines</v>
      </c>
      <c r="L36" s="5" t="str">
        <f>List!C6</f>
        <v>LNG terminal</v>
      </c>
      <c r="M36" s="291">
        <f>IF(List!F6="","-",List!F6)</f>
        <v>199063.25599999999</v>
      </c>
      <c r="N36" s="294">
        <f>IF(List!G6="","-",List!G6)</f>
        <v>0</v>
      </c>
    </row>
    <row r="37" spans="11:27">
      <c r="K37" s="203" t="str">
        <f>List!B7&amp;" - " &amp;List!A7</f>
        <v>D - Carriço</v>
      </c>
      <c r="L37" s="5" t="str">
        <f>List!C7</f>
        <v>Storage</v>
      </c>
      <c r="M37" s="291">
        <f>IF(List!F7="","-",List!F7)</f>
        <v>72755.519</v>
      </c>
      <c r="N37" s="294">
        <f>IF(List!G7="","-",List!G7)</f>
        <v>28083</v>
      </c>
    </row>
    <row r="38" spans="11:27">
      <c r="K38" s="203" t="str">
        <f>List!B8&amp;" - " &amp;List!A8</f>
        <v>E - Lisboagás, Setgás, Carregado, Ribatejo</v>
      </c>
      <c r="L38" s="5" t="str">
        <f>List!C8</f>
        <v>Consumption</v>
      </c>
      <c r="M38" s="291" t="str">
        <f>IF(List!F8="","-",List!F8)</f>
        <v>-</v>
      </c>
      <c r="N38" s="294">
        <f>IF(List!G8="","-",List!G8)</f>
        <v>66304.565000000002</v>
      </c>
    </row>
    <row r="39" spans="11:27">
      <c r="K39" s="203" t="str">
        <f>List!B9&amp;" - " &amp;List!A9</f>
        <v>F - Portgás, Central Outeiro</v>
      </c>
      <c r="L39" s="5" t="str">
        <f>List!C9</f>
        <v>Consumption</v>
      </c>
      <c r="M39" s="291" t="str">
        <f>IF(List!F9="","-",List!F9)</f>
        <v>-</v>
      </c>
      <c r="N39" s="294">
        <f>IF(List!G9="","-",List!G9)</f>
        <v>79306.36</v>
      </c>
    </row>
    <row r="40" spans="11:27">
      <c r="K40" s="203" t="str">
        <f>List!B10&amp;" - " &amp;List!A10</f>
        <v>G - Lusitâniagás, Central Lares, Central Figueira da Foz</v>
      </c>
      <c r="L40" s="5" t="str">
        <f>List!C10</f>
        <v>Consumption</v>
      </c>
      <c r="M40" s="291" t="str">
        <f>IF(List!F10="","-",List!F10)</f>
        <v>-</v>
      </c>
      <c r="N40" s="294">
        <f>IF(List!G10="","-",List!G10)</f>
        <v>68813.756999999998</v>
      </c>
    </row>
    <row r="41" spans="11:27">
      <c r="K41" s="203" t="str">
        <f>List!B11&amp;" - " &amp;List!A11</f>
        <v>H - Tagusgás, Central Pego</v>
      </c>
      <c r="L41" s="5" t="str">
        <f>List!C11</f>
        <v>Consumption</v>
      </c>
      <c r="M41" s="291" t="str">
        <f>IF(List!F11="","-",List!F11)</f>
        <v>-</v>
      </c>
      <c r="N41" s="294">
        <f>IF(List!G11="","-",List!G11)</f>
        <v>33836.025999999998</v>
      </c>
    </row>
    <row r="42" spans="11:27">
      <c r="K42" s="203" t="str">
        <f>List!B12&amp;" - " &amp;List!A12</f>
        <v>I - Portucel</v>
      </c>
      <c r="L42" s="5" t="str">
        <f>List!C12</f>
        <v>Consumption</v>
      </c>
      <c r="M42" s="291" t="str">
        <f>IF(List!F12="","-",List!F12)</f>
        <v>-</v>
      </c>
      <c r="N42" s="294">
        <f>IF(List!G12="","-",List!G12)</f>
        <v>4768.1540000000005</v>
      </c>
    </row>
    <row r="43" spans="11:27">
      <c r="K43" s="203" t="str">
        <f>List!B13&amp;" - " &amp;List!A13</f>
        <v>J - Refinaria Sines, Portucel</v>
      </c>
      <c r="L43" s="5" t="str">
        <f>List!C13</f>
        <v>Consumption</v>
      </c>
      <c r="M43" s="291" t="str">
        <f>IF(List!F13="","-",List!F13)</f>
        <v>-</v>
      </c>
      <c r="N43" s="294">
        <f>IF(List!G13="","-",List!G13)</f>
        <v>29721.968000000001</v>
      </c>
    </row>
    <row r="44" spans="11:27" ht="15" thickBot="1">
      <c r="K44" s="205" t="str">
        <f>List!B14&amp;" - " &amp;List!A14</f>
        <v>K - Beiragás</v>
      </c>
      <c r="L44" s="295" t="str">
        <f>List!C14</f>
        <v>Consumption</v>
      </c>
      <c r="M44" s="296" t="str">
        <f>IF(List!F14="","-",List!F14)</f>
        <v>-</v>
      </c>
      <c r="N44" s="297">
        <f>IF(List!G14="","-",List!G14)</f>
        <v>3527.6610000000001</v>
      </c>
    </row>
    <row r="45" spans="11:27" ht="15" thickBot="1">
      <c r="O45" s="2" t="s">
        <v>209</v>
      </c>
    </row>
    <row r="46" spans="11:27" ht="15" thickBot="1">
      <c r="Q46" s="94" t="s">
        <v>120</v>
      </c>
      <c r="R46" s="214"/>
      <c r="S46" s="214"/>
      <c r="T46" s="214"/>
      <c r="U46" s="214"/>
      <c r="V46" s="214"/>
      <c r="W46" s="214"/>
      <c r="X46" s="214"/>
      <c r="Y46" s="214"/>
      <c r="Z46" s="214"/>
      <c r="AA46" s="95"/>
    </row>
    <row r="47" spans="11:27" ht="15" thickBot="1">
      <c r="P47" s="320" t="s">
        <v>21</v>
      </c>
      <c r="Q47" s="309" t="str">
        <f>CWD!C4</f>
        <v>A</v>
      </c>
      <c r="R47" s="310" t="str">
        <f>CWD!D4</f>
        <v>B</v>
      </c>
      <c r="S47" s="310" t="str">
        <f>CWD!E4</f>
        <v>C</v>
      </c>
      <c r="T47" s="310" t="str">
        <f>CWD!F4</f>
        <v>D</v>
      </c>
      <c r="U47" s="310" t="str">
        <f>CWD!G4</f>
        <v>E</v>
      </c>
      <c r="V47" s="310" t="str">
        <f>CWD!H4</f>
        <v>F</v>
      </c>
      <c r="W47" s="310" t="str">
        <f>CWD!I4</f>
        <v>G</v>
      </c>
      <c r="X47" s="310" t="str">
        <f>CWD!J4</f>
        <v>H</v>
      </c>
      <c r="Y47" s="310" t="str">
        <f>CWD!K4</f>
        <v>I</v>
      </c>
      <c r="Z47" s="310" t="str">
        <f>CWD!L4</f>
        <v>J</v>
      </c>
      <c r="AA47" s="311" t="str">
        <f>CWD!M4</f>
        <v>K</v>
      </c>
    </row>
    <row r="48" spans="11:27">
      <c r="O48" s="300" t="s">
        <v>118</v>
      </c>
      <c r="P48" s="306" t="str">
        <f>CWD!B5</f>
        <v>A</v>
      </c>
      <c r="Q48" s="312">
        <f>CWD!C5</f>
        <v>0</v>
      </c>
      <c r="R48" s="313">
        <f>CWD!D5</f>
        <v>509.03899999999999</v>
      </c>
      <c r="S48" s="313">
        <f>CWD!E5</f>
        <v>481.84000000000003</v>
      </c>
      <c r="T48" s="313">
        <f>CWD!F5</f>
        <v>254.26299999999998</v>
      </c>
      <c r="U48" s="313">
        <f>CWD!G5</f>
        <v>416.85699999999997</v>
      </c>
      <c r="V48" s="313">
        <f>CWD!H5</f>
        <v>434.01900000000001</v>
      </c>
      <c r="W48" s="313">
        <f>CWD!I5</f>
        <v>290.23699999999997</v>
      </c>
      <c r="X48" s="313">
        <f>CWD!J5</f>
        <v>148.19899999999998</v>
      </c>
      <c r="Y48" s="313">
        <f>CWD!K5</f>
        <v>477.80899999999997</v>
      </c>
      <c r="Z48" s="313">
        <f>CWD!L5</f>
        <v>441.00900000000001</v>
      </c>
      <c r="AA48" s="314">
        <f>CWD!M5</f>
        <v>274.86</v>
      </c>
    </row>
    <row r="49" spans="15:30">
      <c r="O49" s="303"/>
      <c r="P49" s="307" t="str">
        <f>CWD!B6</f>
        <v>B</v>
      </c>
      <c r="Q49" s="315">
        <f>CWD!C6</f>
        <v>509.03899999999999</v>
      </c>
      <c r="R49" s="305">
        <f>CWD!D6</f>
        <v>0</v>
      </c>
      <c r="S49" s="305">
        <f>CWD!E6</f>
        <v>549.45300000000009</v>
      </c>
      <c r="T49" s="305">
        <f>CWD!F6</f>
        <v>321.87600000000003</v>
      </c>
      <c r="U49" s="305">
        <f>CWD!G6</f>
        <v>484.47</v>
      </c>
      <c r="V49" s="305">
        <f>CWD!H6</f>
        <v>190.702</v>
      </c>
      <c r="W49" s="305">
        <f>CWD!I6</f>
        <v>357.85</v>
      </c>
      <c r="X49" s="305">
        <f>CWD!J6</f>
        <v>370.96000000000004</v>
      </c>
      <c r="Y49" s="305">
        <f>CWD!K6</f>
        <v>71.706000000000003</v>
      </c>
      <c r="Z49" s="305">
        <f>CWD!L6</f>
        <v>508.62200000000007</v>
      </c>
      <c r="AA49" s="316">
        <f>CWD!M6</f>
        <v>334.01</v>
      </c>
    </row>
    <row r="50" spans="15:30">
      <c r="O50" s="303"/>
      <c r="P50" s="307" t="str">
        <f>CWD!B7</f>
        <v>C</v>
      </c>
      <c r="Q50" s="315">
        <f>CWD!C7</f>
        <v>481.84000000000003</v>
      </c>
      <c r="R50" s="305">
        <f>CWD!D7</f>
        <v>549.45300000000009</v>
      </c>
      <c r="S50" s="305">
        <f>CWD!E7</f>
        <v>0</v>
      </c>
      <c r="T50" s="305">
        <f>CWD!F7</f>
        <v>294.67700000000002</v>
      </c>
      <c r="U50" s="305">
        <f>CWD!G7</f>
        <v>276.803</v>
      </c>
      <c r="V50" s="305">
        <f>CWD!H7</f>
        <v>474.43299999999999</v>
      </c>
      <c r="W50" s="305">
        <f>CWD!I7</f>
        <v>330.65100000000001</v>
      </c>
      <c r="X50" s="305">
        <f>CWD!J7</f>
        <v>343.76099999999997</v>
      </c>
      <c r="Y50" s="305">
        <f>CWD!K7</f>
        <v>518.22300000000007</v>
      </c>
      <c r="Z50" s="305">
        <f>CWD!L7</f>
        <v>51.051000000000002</v>
      </c>
      <c r="AA50" s="316">
        <f>CWD!M7</f>
        <v>462.79100000000005</v>
      </c>
    </row>
    <row r="51" spans="15:30" ht="15" thickBot="1">
      <c r="O51" s="304"/>
      <c r="P51" s="308" t="str">
        <f>CWD!B8</f>
        <v>D</v>
      </c>
      <c r="Q51" s="317">
        <f>CWD!C8</f>
        <v>254.26299999999998</v>
      </c>
      <c r="R51" s="318">
        <f>CWD!D8</f>
        <v>321.87600000000003</v>
      </c>
      <c r="S51" s="318">
        <f>CWD!E8</f>
        <v>294.67700000000002</v>
      </c>
      <c r="T51" s="318">
        <f>CWD!F8</f>
        <v>0</v>
      </c>
      <c r="U51" s="318">
        <f>CWD!G8</f>
        <v>229.69400000000002</v>
      </c>
      <c r="V51" s="318">
        <f>CWD!H8</f>
        <v>246.85599999999999</v>
      </c>
      <c r="W51" s="318">
        <f>CWD!I8</f>
        <v>35.974000000000004</v>
      </c>
      <c r="X51" s="318">
        <f>CWD!J8</f>
        <v>116.184</v>
      </c>
      <c r="Y51" s="318">
        <f>CWD!K8</f>
        <v>290.64600000000002</v>
      </c>
      <c r="Z51" s="318">
        <f>CWD!L8</f>
        <v>253.846</v>
      </c>
      <c r="AA51" s="319">
        <f>CWD!M8</f>
        <v>235.214</v>
      </c>
    </row>
    <row r="52" spans="15:30" ht="15" thickBot="1"/>
    <row r="53" spans="15:30" ht="15" thickBot="1">
      <c r="AB53" s="92"/>
      <c r="AC53" s="545" t="s">
        <v>433</v>
      </c>
      <c r="AD53" s="545" t="s">
        <v>434</v>
      </c>
    </row>
    <row r="54" spans="15:30">
      <c r="AB54" s="562" t="s">
        <v>473</v>
      </c>
      <c r="AC54" s="563"/>
      <c r="AD54" s="564"/>
    </row>
    <row r="55" spans="15:30">
      <c r="AB55" s="565" t="s">
        <v>157</v>
      </c>
      <c r="AC55" s="566">
        <f>CAA_RPM!AC63</f>
        <v>1</v>
      </c>
      <c r="AD55" s="567">
        <f>CAA_RPM!AD63</f>
        <v>0.99996901144272066</v>
      </c>
    </row>
    <row r="56" spans="15:30">
      <c r="AB56" s="565" t="s">
        <v>158</v>
      </c>
      <c r="AC56" s="566">
        <f>CAA_RPM!AC64</f>
        <v>0</v>
      </c>
      <c r="AD56" s="567">
        <f>CAA_RPM!AD64</f>
        <v>3.0988557279392841E-5</v>
      </c>
    </row>
    <row r="57" spans="15:30">
      <c r="AB57" s="568" t="s">
        <v>474</v>
      </c>
      <c r="AC57" s="569"/>
      <c r="AD57" s="570"/>
    </row>
    <row r="58" spans="15:30">
      <c r="AB58" s="565" t="s">
        <v>157</v>
      </c>
      <c r="AC58" s="601">
        <f>CAA_RPM!AC66</f>
        <v>248.55869244295667</v>
      </c>
      <c r="AD58" s="600">
        <f>CAA_RPM!AD66</f>
        <v>248.55869244295664</v>
      </c>
    </row>
    <row r="59" spans="15:30">
      <c r="AB59" s="565" t="s">
        <v>158</v>
      </c>
      <c r="AC59" s="601">
        <f>CAA_RPM!AC67</f>
        <v>0</v>
      </c>
      <c r="AD59" s="600">
        <f>CAA_RPM!AD67</f>
        <v>8.240547945205479E-3</v>
      </c>
    </row>
    <row r="60" spans="15:30">
      <c r="AB60" s="568" t="s">
        <v>475</v>
      </c>
      <c r="AC60" s="569"/>
      <c r="AD60" s="570"/>
    </row>
    <row r="61" spans="15:30">
      <c r="AB61" s="565" t="s">
        <v>157</v>
      </c>
      <c r="AC61" s="573">
        <f>CAA_RPM!AC69</f>
        <v>4.0231946433717924E-3</v>
      </c>
      <c r="AD61" s="574">
        <f>CAA_RPM!AD69</f>
        <v>4.0230699703741402E-3</v>
      </c>
    </row>
    <row r="62" spans="15:30" ht="15" thickBot="1">
      <c r="AB62" s="575" t="s">
        <v>158</v>
      </c>
      <c r="AC62" s="576" t="str">
        <f>CAA_RPM!AC70</f>
        <v>-</v>
      </c>
      <c r="AD62" s="577">
        <f>CAA_RPM!AD70</f>
        <v>3.7604971763343267E-3</v>
      </c>
    </row>
    <row r="63" spans="15:30" ht="15" thickBot="1">
      <c r="AB63" s="578" t="s">
        <v>478</v>
      </c>
      <c r="AC63" s="579">
        <f>CAA_RPM!AC71</f>
        <v>0</v>
      </c>
      <c r="AD63" s="580">
        <f>CAA_RPM!AD71</f>
        <v>6.7468498463677001E-2</v>
      </c>
    </row>
    <row r="65" spans="31:33" ht="15" thickBot="1"/>
    <row r="66" spans="31:33" ht="15" thickBot="1">
      <c r="AE66" s="92"/>
      <c r="AF66" s="545" t="s">
        <v>433</v>
      </c>
      <c r="AG66" s="545" t="s">
        <v>434</v>
      </c>
    </row>
    <row r="67" spans="31:33">
      <c r="AE67" s="562" t="s">
        <v>473</v>
      </c>
      <c r="AF67" s="563"/>
      <c r="AG67" s="564"/>
    </row>
    <row r="68" spans="31:33">
      <c r="AE68" s="565" t="s">
        <v>157</v>
      </c>
      <c r="AF68" s="566">
        <f>CAA_RPM!AI63</f>
        <v>1</v>
      </c>
      <c r="AG68" s="567">
        <f>CAA_RPM!AJ63</f>
        <v>0.99995329062248206</v>
      </c>
    </row>
    <row r="69" spans="31:33">
      <c r="AE69" s="565" t="s">
        <v>158</v>
      </c>
      <c r="AF69" s="566">
        <f>CAA_RPM!AI64</f>
        <v>0</v>
      </c>
      <c r="AG69" s="567">
        <f>CAA_RPM!AJ64</f>
        <v>4.6709377517917192E-5</v>
      </c>
    </row>
    <row r="70" spans="31:33">
      <c r="AE70" s="568" t="s">
        <v>476</v>
      </c>
      <c r="AF70" s="569"/>
      <c r="AG70" s="570"/>
    </row>
    <row r="71" spans="31:33">
      <c r="AE71" s="565" t="s">
        <v>157</v>
      </c>
      <c r="AF71" s="571">
        <f>CAA_RPM!AI66</f>
        <v>59220.688053745216</v>
      </c>
      <c r="AG71" s="572">
        <f>CAA_RPM!AJ66</f>
        <v>59217.680253745217</v>
      </c>
    </row>
    <row r="72" spans="31:33">
      <c r="AE72" s="565" t="s">
        <v>158</v>
      </c>
      <c r="AF72" s="571">
        <f>CAA_RPM!AI67</f>
        <v>0</v>
      </c>
      <c r="AG72" s="572">
        <f>CAA_RPM!AJ67</f>
        <v>3.0077999999999996</v>
      </c>
    </row>
    <row r="73" spans="31:33">
      <c r="AE73" s="568" t="s">
        <v>475</v>
      </c>
      <c r="AF73" s="569"/>
      <c r="AG73" s="570"/>
    </row>
    <row r="74" spans="31:33">
      <c r="AE74" s="565" t="s">
        <v>157</v>
      </c>
      <c r="AF74" s="573">
        <f>CAA_RPM!AI69</f>
        <v>1.68859909073069E-5</v>
      </c>
      <c r="AG74" s="574">
        <f>CAA_RPM!AJ69</f>
        <v>1.6886059810815372E-5</v>
      </c>
    </row>
    <row r="75" spans="31:33" ht="15" thickBot="1">
      <c r="AE75" s="575" t="s">
        <v>158</v>
      </c>
      <c r="AF75" s="576" t="str">
        <f>CAA_RPM!AI70</f>
        <v>-</v>
      </c>
      <c r="AG75" s="577">
        <f>CAA_RPM!AJ70</f>
        <v>1.5529416024309196E-5</v>
      </c>
    </row>
    <row r="76" spans="31:33" ht="15" thickBot="1">
      <c r="AE76" s="578" t="s">
        <v>477</v>
      </c>
      <c r="AF76" s="579">
        <f>CAA_RPM!AI71</f>
        <v>0</v>
      </c>
      <c r="AG76" s="580">
        <f>CAA_RPM!AJ71</f>
        <v>8.370346271678987E-2</v>
      </c>
    </row>
  </sheetData>
  <mergeCells count="3">
    <mergeCell ref="F27:F28"/>
    <mergeCell ref="F29:F30"/>
    <mergeCell ref="M32:N32"/>
  </mergeCells>
  <pageMargins left="0.7" right="0.7" top="0.75" bottom="0.75" header="0.3" footer="0.3"/>
  <pageSetup paperSize="9" orientation="portrait" r:id="rId1"/>
  <ignoredErrors>
    <ignoredError sqref="H29" 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id="{18D10519-32CA-40F5-B512-5383EA76A6AD}">
            <xm:f>NOT(ISERROR(SEARCH("-",M34)))</xm:f>
            <xm:f>"-"</xm:f>
            <x14:dxf>
              <fill>
                <patternFill>
                  <bgColor theme="6"/>
                </patternFill>
              </fill>
            </x14:dxf>
          </x14:cfRule>
          <xm:sqref>M34:N44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AG76"/>
  <sheetViews>
    <sheetView showGridLines="0" zoomScale="90" zoomScaleNormal="90" workbookViewId="0">
      <selection activeCell="H37" sqref="H37"/>
    </sheetView>
  </sheetViews>
  <sheetFormatPr defaultRowHeight="14.4"/>
  <cols>
    <col min="1" max="1" width="2.88671875" customWidth="1"/>
    <col min="2" max="2" width="4.77734375" customWidth="1"/>
    <col min="3" max="3" width="49.6640625" bestFit="1" customWidth="1"/>
    <col min="4" max="4" width="20.88671875" bestFit="1" customWidth="1"/>
    <col min="5" max="5" width="21.88671875" bestFit="1" customWidth="1"/>
    <col min="6" max="6" width="49.6640625" customWidth="1"/>
    <col min="7" max="7" width="18.44140625" customWidth="1"/>
    <col min="8" max="8" width="12.77734375" bestFit="1" customWidth="1"/>
    <col min="9" max="9" width="13.88671875" customWidth="1"/>
    <col min="11" max="11" width="45.33203125" bestFit="1" customWidth="1"/>
    <col min="12" max="12" width="15.6640625" customWidth="1"/>
    <col min="13" max="14" width="21.88671875" customWidth="1"/>
    <col min="16" max="16" width="6.21875" customWidth="1"/>
    <col min="17" max="27" width="6.44140625" customWidth="1"/>
    <col min="28" max="28" width="60.109375" bestFit="1" customWidth="1"/>
    <col min="29" max="29" width="17.77734375" bestFit="1" customWidth="1"/>
    <col min="30" max="30" width="18.21875" bestFit="1" customWidth="1"/>
    <col min="31" max="31" width="60.109375" bestFit="1" customWidth="1"/>
    <col min="32" max="32" width="17.77734375" bestFit="1" customWidth="1"/>
    <col min="33" max="33" width="18.21875" bestFit="1" customWidth="1"/>
  </cols>
  <sheetData>
    <row r="2" spans="2:4" ht="15" thickBot="1">
      <c r="B2" s="45"/>
      <c r="C2" s="220"/>
      <c r="D2" s="221"/>
    </row>
    <row r="3" spans="2:4" ht="15" thickBot="1">
      <c r="B3" s="90" t="s">
        <v>208</v>
      </c>
      <c r="C3" s="222"/>
      <c r="D3" s="223"/>
    </row>
    <row r="4" spans="2:4">
      <c r="B4" s="224"/>
      <c r="C4" s="225" t="s">
        <v>209</v>
      </c>
      <c r="D4" s="226" t="s">
        <v>21</v>
      </c>
    </row>
    <row r="5" spans="2:4">
      <c r="B5" s="227" t="s">
        <v>210</v>
      </c>
      <c r="C5" s="228" t="s">
        <v>211</v>
      </c>
      <c r="D5" s="229" t="s">
        <v>117</v>
      </c>
    </row>
    <row r="6" spans="2:4" ht="15" thickBot="1">
      <c r="B6" s="227" t="s">
        <v>210</v>
      </c>
      <c r="C6" s="228" t="s">
        <v>212</v>
      </c>
      <c r="D6" s="229" t="s">
        <v>213</v>
      </c>
    </row>
    <row r="7" spans="2:4" ht="15" thickBot="1">
      <c r="B7" s="230" t="s">
        <v>214</v>
      </c>
      <c r="C7" s="231" t="s">
        <v>215</v>
      </c>
      <c r="D7" s="232" t="s">
        <v>142</v>
      </c>
    </row>
    <row r="8" spans="2:4" ht="15" thickBot="1">
      <c r="B8" s="90" t="s">
        <v>216</v>
      </c>
      <c r="C8" s="222"/>
      <c r="D8" s="223"/>
    </row>
    <row r="9" spans="2:4">
      <c r="B9" s="224"/>
      <c r="C9" s="225" t="s">
        <v>215</v>
      </c>
      <c r="D9" s="226" t="s">
        <v>142</v>
      </c>
    </row>
    <row r="10" spans="2:4">
      <c r="B10" s="227" t="s">
        <v>217</v>
      </c>
      <c r="C10" s="228" t="s">
        <v>257</v>
      </c>
      <c r="D10" s="229" t="s">
        <v>179</v>
      </c>
    </row>
    <row r="11" spans="2:4">
      <c r="B11" s="227" t="s">
        <v>217</v>
      </c>
      <c r="C11" s="228" t="s">
        <v>258</v>
      </c>
      <c r="D11" s="229" t="s">
        <v>142</v>
      </c>
    </row>
    <row r="12" spans="2:4" ht="15" thickBot="1">
      <c r="B12" s="227" t="s">
        <v>217</v>
      </c>
      <c r="C12" s="233" t="s">
        <v>218</v>
      </c>
      <c r="D12" s="229" t="s">
        <v>117</v>
      </c>
    </row>
    <row r="13" spans="2:4" ht="15" thickBot="1">
      <c r="B13" s="230" t="s">
        <v>214</v>
      </c>
      <c r="C13" s="231" t="s">
        <v>219</v>
      </c>
      <c r="D13" s="232" t="s">
        <v>220</v>
      </c>
    </row>
    <row r="14" spans="2:4" ht="15" thickBot="1">
      <c r="B14" s="90" t="s">
        <v>259</v>
      </c>
      <c r="C14" s="222"/>
      <c r="D14" s="223"/>
    </row>
    <row r="15" spans="2:4">
      <c r="B15" s="224"/>
      <c r="C15" s="225" t="s">
        <v>219</v>
      </c>
      <c r="D15" s="226" t="s">
        <v>220</v>
      </c>
    </row>
    <row r="16" spans="2:4">
      <c r="B16" s="227" t="s">
        <v>217</v>
      </c>
      <c r="C16" s="228" t="s">
        <v>221</v>
      </c>
      <c r="D16" s="229" t="s">
        <v>142</v>
      </c>
    </row>
    <row r="17" spans="2:14">
      <c r="B17" s="227" t="s">
        <v>217</v>
      </c>
      <c r="C17" s="228" t="s">
        <v>222</v>
      </c>
      <c r="D17" s="229" t="s">
        <v>117</v>
      </c>
    </row>
    <row r="18" spans="2:14">
      <c r="B18" s="227" t="s">
        <v>217</v>
      </c>
      <c r="C18" s="228" t="s">
        <v>257</v>
      </c>
      <c r="D18" s="229" t="s">
        <v>179</v>
      </c>
    </row>
    <row r="19" spans="2:14" ht="15" thickBot="1">
      <c r="B19" s="227" t="s">
        <v>217</v>
      </c>
      <c r="C19" s="233" t="s">
        <v>223</v>
      </c>
      <c r="D19" s="229" t="s">
        <v>224</v>
      </c>
    </row>
    <row r="20" spans="2:14" ht="15" thickBot="1">
      <c r="B20" s="230" t="s">
        <v>214</v>
      </c>
      <c r="C20" s="231" t="s">
        <v>225</v>
      </c>
      <c r="D20" s="232" t="s">
        <v>220</v>
      </c>
    </row>
    <row r="21" spans="2:14" ht="15" thickBot="1"/>
    <row r="22" spans="2:14" ht="15" thickBot="1">
      <c r="E22" s="234" t="s">
        <v>439</v>
      </c>
      <c r="F22" s="235" t="s">
        <v>440</v>
      </c>
      <c r="G22" s="241" t="s">
        <v>228</v>
      </c>
      <c r="H22" s="241"/>
      <c r="I22" s="242"/>
    </row>
    <row r="23" spans="2:14">
      <c r="E23" s="236" t="s">
        <v>229</v>
      </c>
      <c r="F23" s="237" t="s">
        <v>122</v>
      </c>
      <c r="G23" s="248"/>
      <c r="H23" s="249">
        <f>Inputs!C5/1000</f>
        <v>92840</v>
      </c>
      <c r="I23" s="250" t="s">
        <v>444</v>
      </c>
    </row>
    <row r="24" spans="2:14">
      <c r="E24" s="238" t="s">
        <v>231</v>
      </c>
      <c r="F24" s="239" t="s">
        <v>441</v>
      </c>
      <c r="G24" s="243"/>
      <c r="H24" s="247">
        <f>H23</f>
        <v>92840</v>
      </c>
      <c r="I24" s="251" t="str">
        <f>I23</f>
        <v>thousand €</v>
      </c>
    </row>
    <row r="25" spans="2:14" ht="16.05" customHeight="1">
      <c r="E25" s="244" t="s">
        <v>233</v>
      </c>
      <c r="F25" s="691" t="s">
        <v>443</v>
      </c>
      <c r="G25" s="255" t="s">
        <v>164</v>
      </c>
      <c r="H25" s="289">
        <f>1-H26</f>
        <v>0.98638103044345271</v>
      </c>
      <c r="I25" s="252"/>
      <c r="J25" s="22"/>
    </row>
    <row r="26" spans="2:14" ht="15.6" customHeight="1">
      <c r="E26" s="240"/>
      <c r="F26" s="692"/>
      <c r="G26" s="256" t="s">
        <v>185</v>
      </c>
      <c r="H26" s="288">
        <f>SUM(Reconcile_RPM!L44:P45,Reconcile_RPM!O46:P46,Reconcile_RPM!N52:O54,Reconcile_RPM!N58+Reconcile_RPM!N62+Reconcile_RPM!N66+Reconcile_RPM!N69)*Reconcile_RPM!U78/Inputs!C5</f>
        <v>1.3618969556547322E-2</v>
      </c>
      <c r="I26" s="253"/>
      <c r="J26" s="22"/>
    </row>
    <row r="27" spans="2:14" ht="16.05" customHeight="1">
      <c r="E27" s="244" t="s">
        <v>235</v>
      </c>
      <c r="F27" s="691" t="s">
        <v>479</v>
      </c>
      <c r="G27" s="255" t="s">
        <v>2</v>
      </c>
      <c r="H27" s="612">
        <f>'E-X Split'!AA16</f>
        <v>0.40552280270451863</v>
      </c>
      <c r="I27" s="252"/>
      <c r="J27" s="22"/>
    </row>
    <row r="28" spans="2:14" ht="16.05" customHeight="1">
      <c r="E28" s="240"/>
      <c r="F28" s="692"/>
      <c r="G28" s="256" t="s">
        <v>3</v>
      </c>
      <c r="H28" s="613">
        <f>1-H27</f>
        <v>0.59447719729548143</v>
      </c>
      <c r="I28" s="253"/>
      <c r="J28" s="22"/>
    </row>
    <row r="29" spans="2:14" ht="16.05" customHeight="1">
      <c r="E29" s="244" t="s">
        <v>237</v>
      </c>
      <c r="F29" s="691" t="s">
        <v>442</v>
      </c>
      <c r="G29" s="255" t="s">
        <v>158</v>
      </c>
      <c r="H29" s="486">
        <f>CAA_RPM!AC64</f>
        <v>0</v>
      </c>
      <c r="I29" s="252"/>
      <c r="J29" s="22"/>
      <c r="L29" s="290"/>
    </row>
    <row r="30" spans="2:14" ht="16.05" customHeight="1" thickBot="1">
      <c r="E30" s="254"/>
      <c r="F30" s="693"/>
      <c r="G30" s="257" t="s">
        <v>157</v>
      </c>
      <c r="H30" s="487">
        <f>1-H29</f>
        <v>1</v>
      </c>
      <c r="I30" s="134"/>
      <c r="J30" s="22"/>
    </row>
    <row r="31" spans="2:14" ht="15" thickBot="1"/>
    <row r="32" spans="2:14" ht="15" thickBot="1">
      <c r="K32" s="113" t="s">
        <v>253</v>
      </c>
      <c r="L32" s="300" t="s">
        <v>255</v>
      </c>
      <c r="M32" s="694" t="s">
        <v>254</v>
      </c>
      <c r="N32" s="695"/>
    </row>
    <row r="33" spans="11:27" ht="15" thickBot="1">
      <c r="K33" s="187"/>
      <c r="L33" s="301"/>
      <c r="M33" s="302" t="s">
        <v>240</v>
      </c>
      <c r="N33" s="302" t="s">
        <v>241</v>
      </c>
    </row>
    <row r="34" spans="11:27">
      <c r="K34" s="299" t="str">
        <f>List!B4&amp;" - " &amp;List!A4</f>
        <v>A - Campo Maior</v>
      </c>
      <c r="L34" s="292" t="str">
        <f>List!C4</f>
        <v>IP</v>
      </c>
      <c r="M34" s="293">
        <f>IF(List!F4="","-",List!F4)</f>
        <v>142061.92800000001</v>
      </c>
      <c r="N34" s="298">
        <f>IF(List!G4="","-",List!G4)</f>
        <v>0</v>
      </c>
    </row>
    <row r="35" spans="11:27">
      <c r="K35" s="203" t="str">
        <f>List!B5&amp;" - " &amp;List!A5</f>
        <v>B - Valença do Minho</v>
      </c>
      <c r="L35" s="5" t="str">
        <f>List!C5</f>
        <v>IP</v>
      </c>
      <c r="M35" s="291">
        <f>IF(List!F5="","-",List!F5)</f>
        <v>19167.987000000001</v>
      </c>
      <c r="N35" s="294">
        <f>IF(List!G5="","-",List!G5)</f>
        <v>16184.186116098101</v>
      </c>
    </row>
    <row r="36" spans="11:27">
      <c r="K36" s="203" t="str">
        <f>List!B6&amp;" - " &amp;List!A6</f>
        <v>C - Terminal de Sines</v>
      </c>
      <c r="L36" s="5" t="str">
        <f>List!C6</f>
        <v>LNG terminal</v>
      </c>
      <c r="M36" s="291">
        <f>IF(List!F6="","-",List!F6)</f>
        <v>199063.25599999999</v>
      </c>
      <c r="N36" s="294">
        <f>IF(List!G6="","-",List!G6)</f>
        <v>0</v>
      </c>
    </row>
    <row r="37" spans="11:27">
      <c r="K37" s="203" t="str">
        <f>List!B7&amp;" - " &amp;List!A7</f>
        <v>D - Carriço</v>
      </c>
      <c r="L37" s="5" t="str">
        <f>List!C7</f>
        <v>Storage</v>
      </c>
      <c r="M37" s="291">
        <f>IF(List!F7="","-",List!F7)</f>
        <v>72755.519</v>
      </c>
      <c r="N37" s="294">
        <f>IF(List!G7="","-",List!G7)</f>
        <v>28083</v>
      </c>
    </row>
    <row r="38" spans="11:27">
      <c r="K38" s="203" t="str">
        <f>List!B8&amp;" - " &amp;List!A8</f>
        <v>E - Lisboagás, Setgás, Carregado, Ribatejo</v>
      </c>
      <c r="L38" s="5" t="str">
        <f>List!C8</f>
        <v>Consumption</v>
      </c>
      <c r="M38" s="291" t="str">
        <f>IF(List!F8="","-",List!F8)</f>
        <v>-</v>
      </c>
      <c r="N38" s="294">
        <f>IF(List!G8="","-",List!G8)</f>
        <v>66304.565000000002</v>
      </c>
    </row>
    <row r="39" spans="11:27">
      <c r="K39" s="203" t="str">
        <f>List!B9&amp;" - " &amp;List!A9</f>
        <v>F - Portgás, Central Outeiro</v>
      </c>
      <c r="L39" s="5" t="str">
        <f>List!C9</f>
        <v>Consumption</v>
      </c>
      <c r="M39" s="291" t="str">
        <f>IF(List!F9="","-",List!F9)</f>
        <v>-</v>
      </c>
      <c r="N39" s="294">
        <f>IF(List!G9="","-",List!G9)</f>
        <v>79306.36</v>
      </c>
    </row>
    <row r="40" spans="11:27">
      <c r="K40" s="203" t="str">
        <f>List!B10&amp;" - " &amp;List!A10</f>
        <v>G - Lusitâniagás, Central Lares, Central Figueira da Foz</v>
      </c>
      <c r="L40" s="5" t="str">
        <f>List!C10</f>
        <v>Consumption</v>
      </c>
      <c r="M40" s="291" t="str">
        <f>IF(List!F10="","-",List!F10)</f>
        <v>-</v>
      </c>
      <c r="N40" s="294">
        <f>IF(List!G10="","-",List!G10)</f>
        <v>68813.756999999998</v>
      </c>
    </row>
    <row r="41" spans="11:27">
      <c r="K41" s="203" t="str">
        <f>List!B11&amp;" - " &amp;List!A11</f>
        <v>H - Tagusgás, Central Pego</v>
      </c>
      <c r="L41" s="5" t="str">
        <f>List!C11</f>
        <v>Consumption</v>
      </c>
      <c r="M41" s="291" t="str">
        <f>IF(List!F11="","-",List!F11)</f>
        <v>-</v>
      </c>
      <c r="N41" s="294">
        <f>IF(List!G11="","-",List!G11)</f>
        <v>33836.025999999998</v>
      </c>
    </row>
    <row r="42" spans="11:27">
      <c r="K42" s="203" t="str">
        <f>List!B12&amp;" - " &amp;List!A12</f>
        <v>I - Portucel</v>
      </c>
      <c r="L42" s="5" t="str">
        <f>List!C12</f>
        <v>Consumption</v>
      </c>
      <c r="M42" s="291" t="str">
        <f>IF(List!F12="","-",List!F12)</f>
        <v>-</v>
      </c>
      <c r="N42" s="294">
        <f>IF(List!G12="","-",List!G12)</f>
        <v>4768.1540000000005</v>
      </c>
    </row>
    <row r="43" spans="11:27">
      <c r="K43" s="203" t="str">
        <f>List!B13&amp;" - " &amp;List!A13</f>
        <v>J - Refinaria Sines, Portucel</v>
      </c>
      <c r="L43" s="5" t="str">
        <f>List!C13</f>
        <v>Consumption</v>
      </c>
      <c r="M43" s="291" t="str">
        <f>IF(List!F13="","-",List!F13)</f>
        <v>-</v>
      </c>
      <c r="N43" s="294">
        <f>IF(List!G13="","-",List!G13)</f>
        <v>29721.968000000001</v>
      </c>
    </row>
    <row r="44" spans="11:27" ht="15" thickBot="1">
      <c r="K44" s="205" t="str">
        <f>List!B14&amp;" - " &amp;List!A14</f>
        <v>K - Beiragás</v>
      </c>
      <c r="L44" s="295" t="str">
        <f>List!C14</f>
        <v>Consumption</v>
      </c>
      <c r="M44" s="296" t="str">
        <f>IF(List!F14="","-",List!F14)</f>
        <v>-</v>
      </c>
      <c r="N44" s="297">
        <f>IF(List!G14="","-",List!G14)</f>
        <v>3527.6610000000001</v>
      </c>
    </row>
    <row r="45" spans="11:27" ht="15" thickBot="1">
      <c r="O45" s="2" t="s">
        <v>209</v>
      </c>
    </row>
    <row r="46" spans="11:27" ht="15" thickBot="1">
      <c r="Q46" s="94" t="s">
        <v>120</v>
      </c>
      <c r="R46" s="214"/>
      <c r="S46" s="214"/>
      <c r="T46" s="214"/>
      <c r="U46" s="214"/>
      <c r="V46" s="214"/>
      <c r="W46" s="214"/>
      <c r="X46" s="214"/>
      <c r="Y46" s="214"/>
      <c r="Z46" s="214"/>
      <c r="AA46" s="95"/>
    </row>
    <row r="47" spans="11:27" ht="15" thickBot="1">
      <c r="P47" s="320" t="s">
        <v>21</v>
      </c>
      <c r="Q47" s="309" t="str">
        <f>CWD!C4</f>
        <v>A</v>
      </c>
      <c r="R47" s="310" t="str">
        <f>CWD!D4</f>
        <v>B</v>
      </c>
      <c r="S47" s="310" t="str">
        <f>CWD!E4</f>
        <v>C</v>
      </c>
      <c r="T47" s="310" t="str">
        <f>CWD!F4</f>
        <v>D</v>
      </c>
      <c r="U47" s="310" t="str">
        <f>CWD!G4</f>
        <v>E</v>
      </c>
      <c r="V47" s="310" t="str">
        <f>CWD!H4</f>
        <v>F</v>
      </c>
      <c r="W47" s="310" t="str">
        <f>CWD!I4</f>
        <v>G</v>
      </c>
      <c r="X47" s="310" t="str">
        <f>CWD!J4</f>
        <v>H</v>
      </c>
      <c r="Y47" s="310" t="str">
        <f>CWD!K4</f>
        <v>I</v>
      </c>
      <c r="Z47" s="310" t="str">
        <f>CWD!L4</f>
        <v>J</v>
      </c>
      <c r="AA47" s="311" t="str">
        <f>CWD!M4</f>
        <v>K</v>
      </c>
    </row>
    <row r="48" spans="11:27">
      <c r="O48" s="300" t="s">
        <v>118</v>
      </c>
      <c r="P48" s="306" t="str">
        <f>CWD!B5</f>
        <v>A</v>
      </c>
      <c r="Q48" s="312">
        <f>CWD!C5</f>
        <v>0</v>
      </c>
      <c r="R48" s="313">
        <f>CWD!D5</f>
        <v>509.03899999999999</v>
      </c>
      <c r="S48" s="313">
        <f>CWD!E5</f>
        <v>481.84000000000003</v>
      </c>
      <c r="T48" s="313">
        <f>CWD!F5</f>
        <v>254.26299999999998</v>
      </c>
      <c r="U48" s="313">
        <f>CWD!G5</f>
        <v>416.85699999999997</v>
      </c>
      <c r="V48" s="313">
        <f>CWD!H5</f>
        <v>434.01900000000001</v>
      </c>
      <c r="W48" s="313">
        <f>CWD!I5</f>
        <v>290.23699999999997</v>
      </c>
      <c r="X48" s="313">
        <f>CWD!J5</f>
        <v>148.19899999999998</v>
      </c>
      <c r="Y48" s="313">
        <f>CWD!K5</f>
        <v>477.80899999999997</v>
      </c>
      <c r="Z48" s="313">
        <f>CWD!L5</f>
        <v>441.00900000000001</v>
      </c>
      <c r="AA48" s="314">
        <f>CWD!M5</f>
        <v>274.86</v>
      </c>
    </row>
    <row r="49" spans="15:30">
      <c r="O49" s="303"/>
      <c r="P49" s="307" t="str">
        <f>CWD!B6</f>
        <v>B</v>
      </c>
      <c r="Q49" s="315">
        <f>CWD!C6</f>
        <v>509.03899999999999</v>
      </c>
      <c r="R49" s="305">
        <f>CWD!D6</f>
        <v>0</v>
      </c>
      <c r="S49" s="305">
        <f>CWD!E6</f>
        <v>549.45300000000009</v>
      </c>
      <c r="T49" s="305">
        <f>CWD!F6</f>
        <v>321.87600000000003</v>
      </c>
      <c r="U49" s="305">
        <f>CWD!G6</f>
        <v>484.47</v>
      </c>
      <c r="V49" s="305">
        <f>CWD!H6</f>
        <v>190.702</v>
      </c>
      <c r="W49" s="305">
        <f>CWD!I6</f>
        <v>357.85</v>
      </c>
      <c r="X49" s="305">
        <f>CWD!J6</f>
        <v>370.96000000000004</v>
      </c>
      <c r="Y49" s="305">
        <f>CWD!K6</f>
        <v>71.706000000000003</v>
      </c>
      <c r="Z49" s="305">
        <f>CWD!L6</f>
        <v>508.62200000000007</v>
      </c>
      <c r="AA49" s="316">
        <f>CWD!M6</f>
        <v>334.01</v>
      </c>
    </row>
    <row r="50" spans="15:30">
      <c r="O50" s="303"/>
      <c r="P50" s="307" t="str">
        <f>CWD!B7</f>
        <v>C</v>
      </c>
      <c r="Q50" s="315">
        <f>CWD!C7</f>
        <v>481.84000000000003</v>
      </c>
      <c r="R50" s="305">
        <f>CWD!D7</f>
        <v>549.45300000000009</v>
      </c>
      <c r="S50" s="305">
        <f>CWD!E7</f>
        <v>0</v>
      </c>
      <c r="T50" s="305">
        <f>CWD!F7</f>
        <v>294.67700000000002</v>
      </c>
      <c r="U50" s="305">
        <f>CWD!G7</f>
        <v>276.803</v>
      </c>
      <c r="V50" s="305">
        <f>CWD!H7</f>
        <v>474.43299999999999</v>
      </c>
      <c r="W50" s="305">
        <f>CWD!I7</f>
        <v>330.65100000000001</v>
      </c>
      <c r="X50" s="305">
        <f>CWD!J7</f>
        <v>343.76099999999997</v>
      </c>
      <c r="Y50" s="305">
        <f>CWD!K7</f>
        <v>518.22300000000007</v>
      </c>
      <c r="Z50" s="305">
        <f>CWD!L7</f>
        <v>51.051000000000002</v>
      </c>
      <c r="AA50" s="316">
        <f>CWD!M7</f>
        <v>462.79100000000005</v>
      </c>
    </row>
    <row r="51" spans="15:30" ht="15" thickBot="1">
      <c r="O51" s="304"/>
      <c r="P51" s="308" t="str">
        <f>CWD!B8</f>
        <v>D</v>
      </c>
      <c r="Q51" s="317">
        <f>CWD!C8</f>
        <v>254.26299999999998</v>
      </c>
      <c r="R51" s="318">
        <f>CWD!D8</f>
        <v>321.87600000000003</v>
      </c>
      <c r="S51" s="318">
        <f>CWD!E8</f>
        <v>294.67700000000002</v>
      </c>
      <c r="T51" s="318">
        <f>CWD!F8</f>
        <v>0</v>
      </c>
      <c r="U51" s="318">
        <f>CWD!G8</f>
        <v>229.69400000000002</v>
      </c>
      <c r="V51" s="318">
        <f>CWD!H8</f>
        <v>246.85599999999999</v>
      </c>
      <c r="W51" s="318">
        <f>CWD!I8</f>
        <v>35.974000000000004</v>
      </c>
      <c r="X51" s="318">
        <f>CWD!J8</f>
        <v>116.184</v>
      </c>
      <c r="Y51" s="318">
        <f>CWD!K8</f>
        <v>290.64600000000002</v>
      </c>
      <c r="Z51" s="318">
        <f>CWD!L8</f>
        <v>253.846</v>
      </c>
      <c r="AA51" s="319">
        <f>CWD!M8</f>
        <v>235.214</v>
      </c>
    </row>
    <row r="52" spans="15:30" ht="15" thickBot="1"/>
    <row r="53" spans="15:30" ht="15" thickBot="1">
      <c r="AB53" s="92"/>
      <c r="AC53" s="545" t="s">
        <v>428</v>
      </c>
      <c r="AD53" s="545" t="s">
        <v>429</v>
      </c>
    </row>
    <row r="54" spans="15:30">
      <c r="AB54" s="562" t="s">
        <v>416</v>
      </c>
      <c r="AC54" s="563"/>
      <c r="AD54" s="564"/>
    </row>
    <row r="55" spans="15:30">
      <c r="AB55" s="565" t="s">
        <v>414</v>
      </c>
      <c r="AC55" s="566">
        <f>CAA_RPM!AC63</f>
        <v>1</v>
      </c>
      <c r="AD55" s="567">
        <f>CAA_RPM!AD63</f>
        <v>0.99996901144272066</v>
      </c>
    </row>
    <row r="56" spans="15:30">
      <c r="AB56" s="565" t="s">
        <v>415</v>
      </c>
      <c r="AC56" s="566">
        <f>CAA_RPM!AC64</f>
        <v>0</v>
      </c>
      <c r="AD56" s="567">
        <f>CAA_RPM!AD64</f>
        <v>3.0988557279392841E-5</v>
      </c>
    </row>
    <row r="57" spans="15:30">
      <c r="AB57" s="568" t="s">
        <v>430</v>
      </c>
      <c r="AC57" s="569"/>
      <c r="AD57" s="570"/>
    </row>
    <row r="58" spans="15:30">
      <c r="AB58" s="565" t="s">
        <v>414</v>
      </c>
      <c r="AC58" s="601">
        <f>CAA_RPM!AC66</f>
        <v>248.55869244295667</v>
      </c>
      <c r="AD58" s="600">
        <f>CAA_RPM!AD66</f>
        <v>248.55869244295664</v>
      </c>
    </row>
    <row r="59" spans="15:30">
      <c r="AB59" s="565" t="s">
        <v>415</v>
      </c>
      <c r="AC59" s="601">
        <f>CAA_RPM!AC67</f>
        <v>0</v>
      </c>
      <c r="AD59" s="600">
        <f>CAA_RPM!AD67</f>
        <v>8.240547945205479E-3</v>
      </c>
    </row>
    <row r="60" spans="15:30">
      <c r="AB60" s="568" t="s">
        <v>417</v>
      </c>
      <c r="AC60" s="569"/>
      <c r="AD60" s="570"/>
    </row>
    <row r="61" spans="15:30">
      <c r="AB61" s="565" t="s">
        <v>414</v>
      </c>
      <c r="AC61" s="573">
        <f>CAA_RPM!AC69</f>
        <v>4.0231946433717924E-3</v>
      </c>
      <c r="AD61" s="574">
        <f>CAA_RPM!AD69</f>
        <v>4.0230699703741402E-3</v>
      </c>
    </row>
    <row r="62" spans="15:30" ht="15" thickBot="1">
      <c r="AB62" s="575" t="s">
        <v>415</v>
      </c>
      <c r="AC62" s="576" t="str">
        <f>CAA_RPM!AC70</f>
        <v>-</v>
      </c>
      <c r="AD62" s="577">
        <f>CAA_RPM!AD70</f>
        <v>3.7604971763343267E-3</v>
      </c>
    </row>
    <row r="63" spans="15:30" ht="15" thickBot="1">
      <c r="AB63" s="578" t="s">
        <v>418</v>
      </c>
      <c r="AC63" s="579">
        <f>CAA_RPM!AC71</f>
        <v>0</v>
      </c>
      <c r="AD63" s="580">
        <f>CAA_RPM!AD71</f>
        <v>6.7468498463677001E-2</v>
      </c>
    </row>
    <row r="65" spans="31:33" ht="15" thickBot="1"/>
    <row r="66" spans="31:33" ht="15" thickBot="1">
      <c r="AE66" s="92"/>
      <c r="AF66" s="545" t="s">
        <v>428</v>
      </c>
      <c r="AG66" s="545" t="s">
        <v>429</v>
      </c>
    </row>
    <row r="67" spans="31:33">
      <c r="AE67" s="562" t="s">
        <v>416</v>
      </c>
      <c r="AF67" s="563"/>
      <c r="AG67" s="564"/>
    </row>
    <row r="68" spans="31:33">
      <c r="AE68" s="565" t="s">
        <v>414</v>
      </c>
      <c r="AF68" s="566">
        <f>CAA_RPM!AI63</f>
        <v>1</v>
      </c>
      <c r="AG68" s="567">
        <f>CAA_RPM!AJ63</f>
        <v>0.99995329062248206</v>
      </c>
    </row>
    <row r="69" spans="31:33">
      <c r="AE69" s="565" t="s">
        <v>415</v>
      </c>
      <c r="AF69" s="566">
        <f>CAA_RPM!AI64</f>
        <v>0</v>
      </c>
      <c r="AG69" s="567">
        <f>CAA_RPM!AJ64</f>
        <v>4.6709377517917192E-5</v>
      </c>
    </row>
    <row r="70" spans="31:33">
      <c r="AE70" s="568" t="s">
        <v>426</v>
      </c>
      <c r="AF70" s="569"/>
      <c r="AG70" s="570"/>
    </row>
    <row r="71" spans="31:33">
      <c r="AE71" s="565" t="s">
        <v>414</v>
      </c>
      <c r="AF71" s="571">
        <f>CAA_RPM!AI66</f>
        <v>59220.688053745216</v>
      </c>
      <c r="AG71" s="572">
        <f>CAA_RPM!AJ66</f>
        <v>59217.680253745217</v>
      </c>
    </row>
    <row r="72" spans="31:33">
      <c r="AE72" s="565" t="s">
        <v>415</v>
      </c>
      <c r="AF72" s="571">
        <f>CAA_RPM!AI67</f>
        <v>0</v>
      </c>
      <c r="AG72" s="572">
        <f>CAA_RPM!AJ67</f>
        <v>3.0077999999999996</v>
      </c>
    </row>
    <row r="73" spans="31:33">
      <c r="AE73" s="568" t="s">
        <v>417</v>
      </c>
      <c r="AF73" s="569"/>
      <c r="AG73" s="570"/>
    </row>
    <row r="74" spans="31:33">
      <c r="AE74" s="565" t="s">
        <v>414</v>
      </c>
      <c r="AF74" s="573">
        <f>CAA_RPM!AI69</f>
        <v>1.68859909073069E-5</v>
      </c>
      <c r="AG74" s="574">
        <f>CAA_RPM!AJ69</f>
        <v>1.6886059810815372E-5</v>
      </c>
    </row>
    <row r="75" spans="31:33" ht="15" thickBot="1">
      <c r="AE75" s="575" t="s">
        <v>415</v>
      </c>
      <c r="AF75" s="576" t="str">
        <f>CAA_RPM!AI70</f>
        <v>-</v>
      </c>
      <c r="AG75" s="577">
        <f>CAA_RPM!AJ70</f>
        <v>1.5529416024309196E-5</v>
      </c>
    </row>
    <row r="76" spans="31:33" ht="15" thickBot="1">
      <c r="AE76" s="578" t="s">
        <v>427</v>
      </c>
      <c r="AF76" s="579">
        <f>CAA_RPM!AI71</f>
        <v>0</v>
      </c>
      <c r="AG76" s="580">
        <f>CAA_RPM!AJ71</f>
        <v>8.370346271678987E-2</v>
      </c>
    </row>
  </sheetData>
  <mergeCells count="4">
    <mergeCell ref="F27:F28"/>
    <mergeCell ref="F29:F30"/>
    <mergeCell ref="M32:N32"/>
    <mergeCell ref="F25:F2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0604D69-222F-4F9C-BABF-18754688CFFA}">
            <xm:f>NOT(ISERROR(SEARCH("-",M34)))</xm:f>
            <xm:f>"-"</xm:f>
            <x14:dxf>
              <fill>
                <patternFill>
                  <bgColor theme="6"/>
                </patternFill>
              </fill>
            </x14:dxf>
          </x14:cfRule>
          <xm:sqref>M34:N44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B3F00244DA8D4E9B8A620A830D9E43" ma:contentTypeVersion="1" ma:contentTypeDescription="Criar um novo documento." ma:contentTypeScope="" ma:versionID="cebdb1c7a746e744226d937b50ab8313">
  <xsd:schema xmlns:xsd="http://www.w3.org/2001/XMLSchema" xmlns:p="http://schemas.microsoft.com/office/2006/metadata/properties" xmlns:ns1="http://schemas.microsoft.com/sharepoint/v3" targetNamespace="http://schemas.microsoft.com/office/2006/metadata/properties" ma:root="true" ma:fieldsID="59de9efe013eff66163b65e642feaba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5651C60-463C-44E0-A905-DADDBA1BFF45}"/>
</file>

<file path=customXml/itemProps2.xml><?xml version="1.0" encoding="utf-8"?>
<ds:datastoreItem xmlns:ds="http://schemas.openxmlformats.org/officeDocument/2006/customXml" ds:itemID="{B456E942-6979-40F6-BF68-D8DE4EB67E16}"/>
</file>

<file path=customXml/itemProps3.xml><?xml version="1.0" encoding="utf-8"?>
<ds:datastoreItem xmlns:ds="http://schemas.openxmlformats.org/officeDocument/2006/customXml" ds:itemID="{E0639CE2-099C-41C0-B481-59D9DD3556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1</vt:i4>
      </vt:variant>
    </vt:vector>
  </HeadingPairs>
  <TitlesOfParts>
    <vt:vector size="24" baseType="lpstr">
      <vt:lpstr>Introduction</vt:lpstr>
      <vt:lpstr>Inputs</vt:lpstr>
      <vt:lpstr>Transmission tariffs</vt:lpstr>
      <vt:lpstr>RPM</vt:lpstr>
      <vt:lpstr>Reconcile_RPM</vt:lpstr>
      <vt:lpstr>RPM_vs_CWD</vt:lpstr>
      <vt:lpstr>CAA_RPM</vt:lpstr>
      <vt:lpstr>CWD</vt:lpstr>
      <vt:lpstr>Reconcile_CWD</vt:lpstr>
      <vt:lpstr>Reconcile_MATRIX</vt:lpstr>
      <vt:lpstr>RPM_vs_CWD_vs_Matrix</vt:lpstr>
      <vt:lpstr>Transmission tariffs_PT</vt:lpstr>
      <vt:lpstr>List</vt:lpstr>
      <vt:lpstr>Distances</vt:lpstr>
      <vt:lpstr>UCC</vt:lpstr>
      <vt:lpstr>Short uses</vt:lpstr>
      <vt:lpstr>E-X Split</vt:lpstr>
      <vt:lpstr>Data_a</vt:lpstr>
      <vt:lpstr>Data_b</vt:lpstr>
      <vt:lpstr>Data_c</vt:lpstr>
      <vt:lpstr>Data_d</vt:lpstr>
      <vt:lpstr>PT</vt:lpstr>
      <vt:lpstr>ENG</vt:lpstr>
      <vt:lpstr>RPM!Área_de_Impressão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Horta</dc:creator>
  <cp:lastModifiedBy>Daniel Horta</cp:lastModifiedBy>
  <cp:lastPrinted>2018-06-29T11:48:18Z</cp:lastPrinted>
  <dcterms:created xsi:type="dcterms:W3CDTF">2018-04-02T13:26:37Z</dcterms:created>
  <dcterms:modified xsi:type="dcterms:W3CDTF">2018-08-17T08:41:27Z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0x0101007AB3F00244DA8D4E9B8A620A830D9E43</vt:lpwstr>
  </property>
  <property fmtid="{D5CDD505-2E9C-101B-9397-08002B2CF9AE}" pid="3" name="TemplateUrl">
    <vt:lpwstr/>
  </property>
  <property fmtid="{D5CDD505-2E9C-101B-9397-08002B2CF9AE}" pid="4" name="_SourceUrl">
    <vt:lpwstr/>
  </property>
  <property fmtid="{D5CDD505-2E9C-101B-9397-08002B2CF9AE}" pid="5" name="_SharedFileIndex">
    <vt:lpwstr/>
  </property>
  <property fmtid="{D5CDD505-2E9C-101B-9397-08002B2CF9AE}" pid="6" name="xd_Signature">
    <vt:bool>false</vt:bool>
  </property>
  <property fmtid="{D5CDD505-2E9C-101B-9397-08002B2CF9AE}" pid="7" name="xd_ProgID">
    <vt:lpwstr/>
  </property>
</Properties>
</file>