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T:\COMUM\Simulador\Calculadora Tarifa Social\2023 04 01 Tarifas SE 2023 e Tarifas Gás 2022-2023 (T2 2023)\"/>
    </mc:Choice>
  </mc:AlternateContent>
  <xr:revisionPtr revIDLastSave="0" documentId="13_ncr:1_{BF7C461E-6238-44E0-838F-F1CA6E714A0E}" xr6:coauthVersionLast="47" xr6:coauthVersionMax="47" xr10:uidLastSave="{00000000-0000-0000-0000-000000000000}"/>
  <workbookProtection workbookAlgorithmName="SHA-512" workbookHashValue="NHssho0rT7eVI5S13WBRoGPDzcKxBhSdNCk5qSa+9PBp3GuGx7cjW6gdRiYLYIDZWsN704tlE22ZKkh1Inslyg==" workbookSaltValue="KIMwg3P6wgnbav8cf5a0Og==" workbookSpinCount="100000" lockStructure="1"/>
  <bookViews>
    <workbookView xWindow="28680" yWindow="-15" windowWidth="29040" windowHeight="17640" xr2:uid="{00000000-000D-0000-FFFF-FFFF00000000}"/>
  </bookViews>
  <sheets>
    <sheet name="Eletricidade" sheetId="1" r:id="rId1"/>
    <sheet name="Gás Natural" sheetId="8" r:id="rId2"/>
    <sheet name="Dados Eletricidade" sheetId="3" state="hidden" r:id="rId3"/>
    <sheet name="Dados Gás" sheetId="9" state="hidden" r:id="rId4"/>
  </sheets>
  <definedNames>
    <definedName name="CAV_EE">'Dados Eletricidade'!$A$164:$A$166</definedName>
    <definedName name="escalao">'Dados Gás'!$A$63:$A$65</definedName>
    <definedName name="opçao_horario">'Dados Eletricidade'!$A$159:$A$162</definedName>
    <definedName name="potencias">'Dados Eletricidade'!$A$151:$A$157</definedName>
    <definedName name="territorio">'Dados Eletricidade'!$A$168:$A$170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4" i="3" l="1"/>
  <c r="C135" i="3"/>
  <c r="B62" i="3"/>
  <c r="G126" i="3"/>
  <c r="G140" i="3" s="1"/>
  <c r="B63" i="3" l="1"/>
  <c r="B78" i="3"/>
  <c r="B77" i="3"/>
  <c r="B76" i="3"/>
  <c r="B75" i="3"/>
  <c r="B74" i="3"/>
  <c r="B73" i="3"/>
  <c r="B82" i="3" l="1"/>
  <c r="B83" i="3"/>
  <c r="B79" i="3"/>
  <c r="B85" i="3"/>
  <c r="B84" i="3"/>
  <c r="B86" i="3"/>
  <c r="B25" i="3"/>
  <c r="G130" i="3" l="1"/>
  <c r="B3" i="8"/>
  <c r="B3" i="1"/>
  <c r="L130" i="3" l="1"/>
  <c r="B26" i="3"/>
  <c r="B24" i="3"/>
  <c r="B21" i="1"/>
  <c r="D21" i="1"/>
  <c r="S132" i="3"/>
  <c r="S143" i="3"/>
  <c r="S145" i="3"/>
  <c r="B52" i="3"/>
  <c r="C132" i="3" l="1"/>
  <c r="P132" i="3" s="1"/>
  <c r="C143" i="3"/>
  <c r="P143" i="3" s="1"/>
  <c r="P135" i="3"/>
  <c r="P124" i="3"/>
  <c r="H139" i="3"/>
  <c r="F139" i="3"/>
  <c r="H138" i="3"/>
  <c r="F138" i="3"/>
  <c r="H137" i="3"/>
  <c r="F137" i="3"/>
  <c r="P57" i="9" l="1"/>
  <c r="P145" i="3"/>
  <c r="B26" i="9" l="1"/>
  <c r="B36" i="9"/>
  <c r="L46" i="9" s="1"/>
  <c r="C46" i="9"/>
  <c r="B29" i="9"/>
  <c r="B39" i="9" s="1"/>
  <c r="I46" i="9" s="1"/>
  <c r="H53" i="9"/>
  <c r="F53" i="9"/>
  <c r="I47" i="9"/>
  <c r="H47" i="9"/>
  <c r="F47" i="9"/>
  <c r="C47" i="9"/>
  <c r="H46" i="9"/>
  <c r="F46" i="9"/>
  <c r="D10" i="8"/>
  <c r="B8" i="8"/>
  <c r="E8" i="8" s="1"/>
  <c r="B66" i="3"/>
  <c r="D19" i="1"/>
  <c r="B120" i="3"/>
  <c r="L126" i="3" l="1"/>
  <c r="P126" i="3" s="1"/>
  <c r="L53" i="9"/>
  <c r="G46" i="9"/>
  <c r="G53" i="9"/>
  <c r="L47" i="9"/>
  <c r="B32" i="9"/>
  <c r="I53" i="9" s="1"/>
  <c r="B10" i="8"/>
  <c r="B12" i="8" s="1"/>
  <c r="E12" i="8" s="1"/>
  <c r="B70" i="3"/>
  <c r="I126" i="3" s="1"/>
  <c r="E126" i="3" s="1"/>
  <c r="B69" i="3"/>
  <c r="I140" i="3" s="1"/>
  <c r="E140" i="3" s="1"/>
  <c r="L140" i="3"/>
  <c r="H129" i="3"/>
  <c r="H128" i="3"/>
  <c r="I141" i="3"/>
  <c r="E141" i="3" s="1"/>
  <c r="C141" i="3"/>
  <c r="C130" i="3"/>
  <c r="I130" i="3"/>
  <c r="E130" i="3" s="1"/>
  <c r="F126" i="3"/>
  <c r="H126" i="3"/>
  <c r="F127" i="3"/>
  <c r="H127" i="3"/>
  <c r="F128" i="3"/>
  <c r="F129" i="3"/>
  <c r="F130" i="3"/>
  <c r="H130" i="3"/>
  <c r="F140" i="3"/>
  <c r="H140" i="3"/>
  <c r="F141" i="3"/>
  <c r="H141" i="3"/>
  <c r="B61" i="3"/>
  <c r="B56" i="3" s="1"/>
  <c r="B89" i="3" s="1"/>
  <c r="B97" i="3" l="1"/>
  <c r="B105" i="3"/>
  <c r="G47" i="9"/>
  <c r="E47" i="9" s="1"/>
  <c r="E46" i="9"/>
  <c r="B90" i="3"/>
  <c r="B91" i="3"/>
  <c r="B93" i="3"/>
  <c r="B94" i="3"/>
  <c r="B92" i="3"/>
  <c r="P140" i="3"/>
  <c r="V140" i="3"/>
  <c r="U140" i="3"/>
  <c r="O140" i="3"/>
  <c r="S140" i="3"/>
  <c r="T140" i="3"/>
  <c r="B207" i="3"/>
  <c r="B214" i="3" s="1"/>
  <c r="B209" i="3"/>
  <c r="C214" i="3" s="1"/>
  <c r="B210" i="3"/>
  <c r="B205" i="3"/>
  <c r="A215" i="3" s="1"/>
  <c r="S126" i="3"/>
  <c r="O126" i="3"/>
  <c r="U126" i="3"/>
  <c r="E53" i="9"/>
  <c r="E54" i="9" s="1"/>
  <c r="E55" i="9" s="1"/>
  <c r="P53" i="9"/>
  <c r="O53" i="9"/>
  <c r="V53" i="9"/>
  <c r="U53" i="9"/>
  <c r="T53" i="9"/>
  <c r="S53" i="9"/>
  <c r="V126" i="3"/>
  <c r="R126" i="3"/>
  <c r="T126" i="3"/>
  <c r="G141" i="3"/>
  <c r="L141" i="3" s="1"/>
  <c r="R140" i="3"/>
  <c r="B110" i="3" l="1"/>
  <c r="B102" i="3"/>
  <c r="B109" i="3"/>
  <c r="B101" i="3"/>
  <c r="B98" i="3"/>
  <c r="B106" i="3"/>
  <c r="B100" i="3"/>
  <c r="B108" i="3"/>
  <c r="B99" i="3"/>
  <c r="B107" i="3"/>
  <c r="G138" i="3"/>
  <c r="R141" i="3"/>
  <c r="G139" i="3"/>
  <c r="G129" i="3"/>
  <c r="G137" i="3"/>
  <c r="G128" i="3"/>
  <c r="C213" i="3"/>
  <c r="B222" i="3" s="1"/>
  <c r="B221" i="3"/>
  <c r="B208" i="3"/>
  <c r="C215" i="3" s="1"/>
  <c r="B206" i="3"/>
  <c r="B215" i="3" s="1"/>
  <c r="R53" i="9"/>
  <c r="R54" i="9" s="1"/>
  <c r="R55" i="9" s="1"/>
  <c r="L129" i="3" l="1"/>
  <c r="L139" i="3"/>
  <c r="L137" i="3"/>
  <c r="L138" i="3"/>
  <c r="G127" i="3"/>
  <c r="O141" i="3"/>
  <c r="V141" i="3"/>
  <c r="S141" i="3"/>
  <c r="P141" i="3"/>
  <c r="U141" i="3"/>
  <c r="T141" i="3"/>
  <c r="L128" i="3"/>
  <c r="B220" i="3"/>
  <c r="A39" i="9"/>
  <c r="L127" i="3" l="1"/>
  <c r="T46" i="9"/>
  <c r="S46" i="9"/>
  <c r="P46" i="9"/>
  <c r="U46" i="9"/>
  <c r="O46" i="9"/>
  <c r="V46" i="9"/>
  <c r="R46" i="9" l="1"/>
  <c r="E48" i="9"/>
  <c r="E49" i="9" s="1"/>
  <c r="E57" i="9" s="1"/>
  <c r="D12" i="1"/>
  <c r="D10" i="1"/>
  <c r="R47" i="9" l="1"/>
  <c r="R48" i="9" s="1"/>
  <c r="R49" i="9" s="1"/>
  <c r="R57" i="9" s="1"/>
  <c r="P47" i="9"/>
  <c r="O47" i="9"/>
  <c r="S47" i="9"/>
  <c r="V47" i="9"/>
  <c r="U47" i="9"/>
  <c r="T47" i="9"/>
  <c r="C195" i="3" l="1"/>
  <c r="C194" i="3"/>
  <c r="C193" i="3"/>
  <c r="B195" i="3"/>
  <c r="B194" i="3"/>
  <c r="A195" i="3"/>
  <c r="B8" i="1"/>
  <c r="B10" i="1" s="1"/>
  <c r="B12" i="1" s="1"/>
  <c r="B113" i="3" l="1"/>
  <c r="B14" i="1"/>
  <c r="B114" i="3"/>
  <c r="I128" i="3" s="1"/>
  <c r="B115" i="3"/>
  <c r="I138" i="3" l="1"/>
  <c r="E138" i="3" s="1"/>
  <c r="E128" i="3"/>
  <c r="I129" i="3"/>
  <c r="I127" i="3"/>
  <c r="I137" i="3" l="1"/>
  <c r="E137" i="3" s="1"/>
  <c r="E127" i="3"/>
  <c r="I139" i="3"/>
  <c r="E139" i="3" s="1"/>
  <c r="E129" i="3"/>
  <c r="E8" i="1"/>
  <c r="E10" i="1" l="1"/>
  <c r="B15" i="1" l="1"/>
  <c r="B17" i="1"/>
  <c r="B16" i="1"/>
  <c r="B119" i="3" l="1"/>
  <c r="B19" i="1" s="1"/>
  <c r="C129" i="3"/>
  <c r="C139" i="3" s="1"/>
  <c r="C127" i="3"/>
  <c r="C137" i="3" s="1"/>
  <c r="C128" i="3"/>
  <c r="C138" i="3" s="1"/>
  <c r="E15" i="1"/>
  <c r="E16" i="1"/>
  <c r="E17" i="1"/>
  <c r="B199" i="3"/>
  <c r="A198" i="3"/>
  <c r="S138" i="3" l="1"/>
  <c r="P138" i="3"/>
  <c r="V138" i="3"/>
  <c r="U138" i="3"/>
  <c r="O138" i="3"/>
  <c r="T138" i="3"/>
  <c r="A222" i="3"/>
  <c r="A221" i="3"/>
  <c r="A220" i="3"/>
  <c r="A113" i="3"/>
  <c r="A115" i="3"/>
  <c r="A114" i="3"/>
  <c r="B198" i="3"/>
  <c r="C198" i="3"/>
  <c r="C197" i="3"/>
  <c r="B197" i="3"/>
  <c r="C199" i="3"/>
  <c r="A197" i="3"/>
  <c r="A199" i="3"/>
  <c r="V139" i="3" l="1"/>
  <c r="T139" i="3"/>
  <c r="S139" i="3"/>
  <c r="R139" i="3"/>
  <c r="U139" i="3"/>
  <c r="P139" i="3"/>
  <c r="O139" i="3"/>
  <c r="V137" i="3"/>
  <c r="U137" i="3"/>
  <c r="P137" i="3"/>
  <c r="T137" i="3"/>
  <c r="S137" i="3"/>
  <c r="R137" i="3"/>
  <c r="O137" i="3"/>
  <c r="R138" i="3"/>
  <c r="R142" i="3" l="1"/>
  <c r="R143" i="3" s="1"/>
  <c r="E142" i="3"/>
  <c r="E143" i="3" s="1"/>
  <c r="T127" i="3"/>
  <c r="O130" i="3" l="1"/>
  <c r="V127" i="3"/>
  <c r="S127" i="3"/>
  <c r="V128" i="3"/>
  <c r="O128" i="3"/>
  <c r="P129" i="3"/>
  <c r="V129" i="3"/>
  <c r="U129" i="3"/>
  <c r="T128" i="3"/>
  <c r="O129" i="3"/>
  <c r="S128" i="3"/>
  <c r="S129" i="3"/>
  <c r="U128" i="3"/>
  <c r="R128" i="3"/>
  <c r="T129" i="3"/>
  <c r="P128" i="3"/>
  <c r="R129" i="3"/>
  <c r="P127" i="3"/>
  <c r="R127" i="3"/>
  <c r="U127" i="3"/>
  <c r="O127" i="3"/>
  <c r="U130" i="3" l="1"/>
  <c r="S130" i="3"/>
  <c r="P130" i="3"/>
  <c r="V130" i="3"/>
  <c r="R130" i="3"/>
  <c r="R131" i="3" s="1"/>
  <c r="R132" i="3" s="1"/>
  <c r="R145" i="3" s="1"/>
  <c r="T130" i="3"/>
  <c r="E131" i="3" l="1"/>
  <c r="E132" i="3" s="1"/>
  <c r="E14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A204" authorId="0" shapeId="0" xr:uid="{00000000-0006-0000-0200-000001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6" authorId="0" shapeId="0" xr:uid="{00000000-0006-0000-0200-000002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8" authorId="0" shapeId="0" xr:uid="{00000000-0006-0000-0200-000003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2" authorId="0" shapeId="0" xr:uid="{00000000-0006-0000-0200-000004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9" authorId="0" shapeId="0" xr:uid="{00000000-0006-0000-0200-000005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B12" authorId="0" shapeId="0" xr:uid="{00000000-0006-0000-0300-000001000000}">
      <text>
        <r>
          <rPr>
            <b/>
            <sz val="9"/>
            <color indexed="81"/>
            <rFont val="Tahoma"/>
            <family val="2"/>
          </rPr>
          <t>Daniel Horta:</t>
        </r>
        <r>
          <rPr>
            <sz val="9"/>
            <color indexed="81"/>
            <rFont val="Tahoma"/>
            <family val="2"/>
          </rPr>
          <t xml:space="preserve">
Atualizado a 16 de fevereiro de 2022</t>
        </r>
      </text>
    </comment>
  </commentList>
</comments>
</file>

<file path=xl/sharedStrings.xml><?xml version="1.0" encoding="utf-8"?>
<sst xmlns="http://schemas.openxmlformats.org/spreadsheetml/2006/main" count="365" uniqueCount="161">
  <si>
    <t xml:space="preserve">Potência </t>
  </si>
  <si>
    <t>(EUR/dia)</t>
  </si>
  <si>
    <t>Tarifa simples, bi-horária</t>
  </si>
  <si>
    <t>e tri-horária</t>
  </si>
  <si>
    <t>Energia ativa</t>
  </si>
  <si>
    <t>(EUR/kWh)</t>
  </si>
  <si>
    <t>Tarifa simples</t>
  </si>
  <si>
    <t>Tarifa bi-horária</t>
  </si>
  <si>
    <t>Horas fora de vazio</t>
  </si>
  <si>
    <t>Horas de vazio</t>
  </si>
  <si>
    <t>Tarifa tri-horária</t>
  </si>
  <si>
    <t>Hora ponta</t>
  </si>
  <si>
    <t>Hora cheia</t>
  </si>
  <si>
    <t>Hora vazio</t>
  </si>
  <si>
    <t>DESCONTO TARIFA SOCIAL EM BTN
(≤ 6,9 kVA)</t>
  </si>
  <si>
    <t>Qual a sua opção horária?</t>
  </si>
  <si>
    <t>Qual a sua potência contratada?</t>
  </si>
  <si>
    <t>Simples</t>
  </si>
  <si>
    <t>Bi-horário</t>
  </si>
  <si>
    <t>Tri-horário</t>
  </si>
  <si>
    <t/>
  </si>
  <si>
    <t>Potência contratada</t>
  </si>
  <si>
    <t>Calculadora do desconto da Tarifa Social na eletricidade</t>
  </si>
  <si>
    <t>Calculadora do desconto da Tarifa Social no gás natural</t>
  </si>
  <si>
    <t>Escalão 1</t>
  </si>
  <si>
    <t>Escalão 2</t>
  </si>
  <si>
    <t>Energia</t>
  </si>
  <si>
    <t>Qual o seu escalão de consumo?</t>
  </si>
  <si>
    <t>€/dia</t>
  </si>
  <si>
    <t>€/kWh</t>
  </si>
  <si>
    <t>x</t>
  </si>
  <si>
    <t>dias</t>
  </si>
  <si>
    <t>kWh</t>
  </si>
  <si>
    <t>=</t>
  </si>
  <si>
    <t>Quantidade</t>
  </si>
  <si>
    <t>kVA</t>
  </si>
  <si>
    <t>Consumo em horas de ponta</t>
  </si>
  <si>
    <t>Consumo em horas de vazio</t>
  </si>
  <si>
    <t>Consumo</t>
  </si>
  <si>
    <t>Consumo em horas fora de vazio</t>
  </si>
  <si>
    <t>€/mês</t>
  </si>
  <si>
    <t>Imposto Especial de Consumo (IEC)</t>
  </si>
  <si>
    <t>Imposto sobre os Produtos Petrolíferos e Energéticos (ISP)</t>
  </si>
  <si>
    <t>O desconto apresentado assume a aplicação da Contribuição Audiovisual (clientes com consumo anual de eletricidade inferior a 400 kWh estão dispensados deste encargo, independentemente de terem ou não a tarifa social).</t>
  </si>
  <si>
    <t>Consumo em horas cheias</t>
  </si>
  <si>
    <t>Escalão 1  (0 - 220 m3/ano)</t>
  </si>
  <si>
    <t>Valor</t>
  </si>
  <si>
    <t>Preço</t>
  </si>
  <si>
    <t>Termo de potência - com taxa normal de IVA</t>
  </si>
  <si>
    <t>[A]</t>
  </si>
  <si>
    <t>Termo de potência - com taxa reduzida de IVA</t>
  </si>
  <si>
    <t>Contribuição audiovisual</t>
  </si>
  <si>
    <t>[B]</t>
  </si>
  <si>
    <t>[A] + [B]</t>
  </si>
  <si>
    <t>?</t>
  </si>
  <si>
    <t>Tarifa de Acesso às Redes  →</t>
  </si>
  <si>
    <t>Rubricas sujeitas à taxa normal de IVA (23%)</t>
  </si>
  <si>
    <t>Rubricas sujeitas à taxa reduzida de IVA (6%)</t>
  </si>
  <si>
    <t>Sub-total sem IVA</t>
  </si>
  <si>
    <t>Sub-total com IVA de 23%</t>
  </si>
  <si>
    <t>Sub-total com IVA de 6%</t>
  </si>
  <si>
    <t>Parâmetros</t>
  </si>
  <si>
    <t>Taxa normal de IVA</t>
  </si>
  <si>
    <t>Taxa reduzida de IVA</t>
  </si>
  <si>
    <t>INPUT</t>
  </si>
  <si>
    <t>Atualizar células amarelas</t>
  </si>
  <si>
    <t>Cálculos auxiliares</t>
  </si>
  <si>
    <t>Elementos auxiliares - listas drop-down &amp; texto</t>
  </si>
  <si>
    <t>Número dias</t>
  </si>
  <si>
    <t>mês/meses</t>
  </si>
  <si>
    <t>Tempo</t>
  </si>
  <si>
    <t>Energia - Consumo</t>
  </si>
  <si>
    <t>Número de meses [número]</t>
  </si>
  <si>
    <t>Número de meses [texto]</t>
  </si>
  <si>
    <t>Contribuição audiovisual reduzida</t>
  </si>
  <si>
    <t>Potência - preço do desconto</t>
  </si>
  <si>
    <t>Energia - preço do desconto</t>
  </si>
  <si>
    <r>
      <t xml:space="preserve">Esta </t>
    </r>
    <r>
      <rPr>
        <b/>
        <sz val="11"/>
        <color theme="1"/>
        <rFont val="Calibri"/>
        <family val="2"/>
      </rPr>
      <t>Calculadora</t>
    </r>
    <r>
      <rPr>
        <sz val="11"/>
        <color theme="1"/>
        <rFont val="Calibri"/>
        <family val="2"/>
        <scheme val="minor"/>
      </rPr>
      <t xml:space="preserve"> determina o desconto da tarifa social na sua fatura de eletricidade.</t>
    </r>
  </si>
  <si>
    <t>Texto</t>
  </si>
  <si>
    <t>Incluir na figura ?</t>
  </si>
  <si>
    <t>Notas</t>
  </si>
  <si>
    <t>Quantos dias foram faturados?</t>
  </si>
  <si>
    <t>Qual o consumo de energia faturado?</t>
  </si>
  <si>
    <t>Diferenças de poucos cêntimos podem ser devidos aos arredondamentos.</t>
  </si>
  <si>
    <t>O desconto da tarifa social reflete-se na tarifa de Acesso às Redes e nas taxas e Impostos.dispensa o consumidor de pagar o valor do Imposto Especial de Consumo (IEC) e reduz o montante a pagar pela Contribução Audiovisual (sujeita à taxa de IVA reduzido de 6%).</t>
  </si>
  <si>
    <r>
      <t>O desconto da tarifa social reflete-se na «</t>
    </r>
    <r>
      <rPr>
        <b/>
        <sz val="11"/>
        <color theme="1"/>
        <rFont val="Calibri"/>
        <family val="2"/>
      </rPr>
      <t>Tarifa de Acesso às Redes</t>
    </r>
    <r>
      <rPr>
        <sz val="11"/>
        <color theme="1"/>
        <rFont val="Calibri"/>
        <family val="2"/>
        <scheme val="minor"/>
      </rPr>
      <t>» e nas «</t>
    </r>
    <r>
      <rPr>
        <b/>
        <sz val="11"/>
        <color theme="1"/>
        <rFont val="Calibri"/>
        <family val="2"/>
        <scheme val="minor"/>
      </rPr>
      <t>Taxas e Impostos</t>
    </r>
    <r>
      <rPr>
        <sz val="11"/>
        <color theme="1"/>
        <rFont val="Calibri"/>
        <family val="2"/>
        <scheme val="minor"/>
      </rPr>
      <t>».</t>
    </r>
  </si>
  <si>
    <t>Beneficia de desconto na contribuição audiovisual?</t>
  </si>
  <si>
    <t>Pergunta sobre CAV</t>
  </si>
  <si>
    <t>erros</t>
  </si>
  <si>
    <t>Sim</t>
  </si>
  <si>
    <t>Não</t>
  </si>
  <si>
    <t>Número de erros (mostrar pergunta se #erros=0)</t>
  </si>
  <si>
    <t>Beneficia de redução na CAV?</t>
  </si>
  <si>
    <t>CAV</t>
  </si>
  <si>
    <t>Opção tarifária</t>
  </si>
  <si>
    <t>Os arredondamentos podem resultar em pequenas diferenças.</t>
  </si>
  <si>
    <t>O desconto da tarifa social dispensa o pagamento do Imposto Especial de Consumo (IEC) e pode resultar num desconto parcial na Contribução Audiovisual.</t>
  </si>
  <si>
    <t>As rubricas podem estar sujeitas a diferentes taxas de IVA, nomeadamente à taxa normal (23%) e à taxa reduzida (6%).</t>
  </si>
  <si>
    <r>
      <rPr>
        <b/>
        <i/>
        <sz val="11"/>
        <color theme="1"/>
        <rFont val="Calibri"/>
        <family val="2"/>
      </rPr>
      <t>Tarifa de Acesso às Redes</t>
    </r>
    <r>
      <rPr>
        <i/>
        <sz val="11"/>
        <color theme="1"/>
        <rFont val="Calibri"/>
        <family val="2"/>
        <scheme val="minor"/>
      </rPr>
      <t xml:space="preserve"> = Valor incluído nas faturas de eletricidade para recuperar os custos do setor partilhados entre todos os clientes de eletricidade (por exemplo, uso das redes elétricas). Valor aprovado pela ERSE.</t>
    </r>
  </si>
  <si>
    <t>Taxas e Impostos  →</t>
  </si>
  <si>
    <r>
      <t xml:space="preserve">Esta </t>
    </r>
    <r>
      <rPr>
        <b/>
        <sz val="11"/>
        <color theme="1"/>
        <rFont val="Calibri"/>
        <family val="2"/>
      </rPr>
      <t>Calculadora</t>
    </r>
    <r>
      <rPr>
        <sz val="11"/>
        <color theme="1"/>
        <rFont val="Calibri"/>
        <family val="2"/>
        <scheme val="minor"/>
      </rPr>
      <t xml:space="preserve"> determina o desconto da tarifa social na sua fatura de gás natural.</t>
    </r>
  </si>
  <si>
    <t>Termo tarifário fixo</t>
  </si>
  <si>
    <t>DESCONTO TARIFA SOCIAL EM BP</t>
  </si>
  <si>
    <t>Escalão de consumo</t>
  </si>
  <si>
    <t>0 - 220  m3/ano</t>
  </si>
  <si>
    <t>221 - 500 m3/ano</t>
  </si>
  <si>
    <t>Escalão 2  (221 - 500 m3/ano)</t>
  </si>
  <si>
    <t>Qual o consumo de energia em kWh?</t>
  </si>
  <si>
    <t>Termo fixo - com taxa reduzida de IVA</t>
  </si>
  <si>
    <t>Termo fixo - com taxa normal de IVA</t>
  </si>
  <si>
    <t>Termo fixo - preço do desconto</t>
  </si>
  <si>
    <t>Consumo de energia</t>
  </si>
  <si>
    <t>N/A</t>
  </si>
  <si>
    <t>O desconto da tarifa social dispensa o pagamento do Imposto sobre os Produtos Petrolíferos (ISP).</t>
  </si>
  <si>
    <r>
      <rPr>
        <b/>
        <i/>
        <sz val="11"/>
        <color theme="1"/>
        <rFont val="Calibri"/>
        <family val="2"/>
      </rPr>
      <t>Tarifa de Acesso às Redes</t>
    </r>
    <r>
      <rPr>
        <i/>
        <sz val="11"/>
        <color theme="1"/>
        <rFont val="Calibri"/>
        <family val="2"/>
        <scheme val="minor"/>
      </rPr>
      <t xml:space="preserve"> = Valor incluído nas faturas de gás natural para recuperar os custos do setor partilhados entre todos os clientes de gás natural (por exemplo, uso das redes de transporte). Valor aprovado pela ERSE.</t>
    </r>
  </si>
  <si>
    <r>
      <rPr>
        <b/>
        <i/>
        <sz val="11"/>
        <color theme="1"/>
        <rFont val="Calibri"/>
        <family val="2"/>
      </rPr>
      <t>Taxas e Impostos</t>
    </r>
    <r>
      <rPr>
        <i/>
        <sz val="11"/>
        <color theme="1"/>
        <rFont val="Calibri"/>
        <family val="2"/>
        <scheme val="minor"/>
      </rPr>
      <t xml:space="preserve"> =   Imposto sobre os Produtos Petrolíferos (ISP) e Imposto sobre Valor Acrescentado (IVA). Valores aprovados pelo Estado português.</t>
    </r>
  </si>
  <si>
    <r>
      <rPr>
        <b/>
        <i/>
        <sz val="11"/>
        <color theme="1"/>
        <rFont val="Calibri"/>
        <family val="2"/>
      </rPr>
      <t>Taxas e Impostos</t>
    </r>
    <r>
      <rPr>
        <i/>
        <sz val="11"/>
        <color theme="1"/>
        <rFont val="Calibri"/>
        <family val="2"/>
        <scheme val="minor"/>
      </rPr>
      <t xml:space="preserve"> =  Imposto Especial de Consumo (IEC), Contribução Audiovisual e Imposto sobre Valor Acrescentado (IVA). Valores aprovados pelo Estado português.</t>
    </r>
  </si>
  <si>
    <r>
      <t xml:space="preserve">Utilize a sua fatura para preencher os dados nos </t>
    </r>
    <r>
      <rPr>
        <b/>
        <sz val="11"/>
        <color theme="5"/>
        <rFont val="Calibri"/>
        <family val="2"/>
      </rPr>
      <t>campos indicados</t>
    </r>
    <r>
      <rPr>
        <sz val="11"/>
        <color theme="1"/>
        <rFont val="Calibri"/>
        <family val="2"/>
        <scheme val="minor"/>
      </rPr>
      <t>.</t>
    </r>
  </si>
  <si>
    <t>Desconto da tarifa social</t>
  </si>
  <si>
    <t>Taxa intermédia de IVA</t>
  </si>
  <si>
    <t>Para mais informações aceda a este Folheto informativo da ERSE.</t>
  </si>
  <si>
    <t>Taxas de IVA</t>
  </si>
  <si>
    <t>Portugal continental</t>
  </si>
  <si>
    <t>Açores</t>
  </si>
  <si>
    <t>Madeira</t>
  </si>
  <si>
    <t>Cálculos auxiliares: Regime de IVA desde 1 de dezembro 2020</t>
  </si>
  <si>
    <t>Energia - Consumo (taxa normal de IVA)</t>
  </si>
  <si>
    <t>Fora de vazio</t>
  </si>
  <si>
    <t>Vazio</t>
  </si>
  <si>
    <t>Ponta</t>
  </si>
  <si>
    <t>Cheias</t>
  </si>
  <si>
    <t>Limiares de consumo para regime IVA (30 dias)</t>
  </si>
  <si>
    <t>Limiares de consumo (simulação)</t>
  </si>
  <si>
    <t>Limiares de consumo (simulação), apenas da opção tarifária escolhida</t>
  </si>
  <si>
    <t>Limiares de consumo (simulação), em kWh</t>
  </si>
  <si>
    <t>Qual é o terrítório em que reside?</t>
  </si>
  <si>
    <t>Território</t>
  </si>
  <si>
    <t>Continente</t>
  </si>
  <si>
    <t>Para mais informação sobre a aplicação do IVA na fatura de eletricidade consulte este ERSExplica</t>
  </si>
  <si>
    <t>Para mais informação sobre a tarifa social consulte este Folheto informativo</t>
  </si>
  <si>
    <r>
      <t>O desconto da tarifa social reflete-se na «</t>
    </r>
    <r>
      <rPr>
        <b/>
        <i/>
        <sz val="11"/>
        <color theme="1"/>
        <rFont val="Calibri"/>
        <family val="2"/>
      </rPr>
      <t>Tarifa de Acesso às Redes</t>
    </r>
    <r>
      <rPr>
        <i/>
        <sz val="11"/>
        <color theme="1"/>
        <rFont val="Calibri"/>
        <family val="2"/>
        <scheme val="minor"/>
      </rPr>
      <t>» e nas «</t>
    </r>
    <r>
      <rPr>
        <b/>
        <i/>
        <sz val="11"/>
        <color theme="1"/>
        <rFont val="Calibri"/>
        <family val="2"/>
        <scheme val="minor"/>
      </rPr>
      <t>Taxas e Impostos</t>
    </r>
    <r>
      <rPr>
        <i/>
        <sz val="11"/>
        <color theme="1"/>
        <rFont val="Calibri"/>
        <family val="2"/>
        <scheme val="minor"/>
      </rPr>
      <t>».</t>
    </r>
  </si>
  <si>
    <t>Período</t>
  </si>
  <si>
    <t>Alterado na legislação dos Açores de 18% para 16%, a partir de 1 de julho de 2021.</t>
  </si>
  <si>
    <t>Atualizado a 20 de dez. de 2022</t>
  </si>
  <si>
    <t>Verificado a 20 de dez. de 2022</t>
  </si>
  <si>
    <t>Limite de Dias</t>
  </si>
  <si>
    <t>Consumo Simples</t>
  </si>
  <si>
    <t>Consumo 2H FV</t>
  </si>
  <si>
    <t>Consumo 2H V</t>
  </si>
  <si>
    <t>Consumo 3H Ponta</t>
  </si>
  <si>
    <t>Consumo 3H Cheias</t>
  </si>
  <si>
    <t>Consumo 3H Vazio</t>
  </si>
  <si>
    <t>Energia - Consumo  Total</t>
  </si>
  <si>
    <t>Energia - Repartição do Consumo</t>
  </si>
  <si>
    <t>%</t>
  </si>
  <si>
    <t>Energia - Quantidades Máximas a IVA 6%</t>
  </si>
  <si>
    <t>Energia - Consumo (taxa de IVA de 6%)</t>
  </si>
  <si>
    <t>Limite ConsumoDesc_IVA</t>
  </si>
  <si>
    <t>Consumo Total</t>
  </si>
  <si>
    <t>Valores válidos a partir de 1 de abril de 2023</t>
  </si>
  <si>
    <t>Valores válidos de 1 a partir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</si>
</sst>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 ###\ ###\ ##0"/>
    <numFmt numFmtId="165" formatCode="0.0000"/>
    <numFmt numFmtId="166" formatCode="#,##0.00\ &quot;€&quot;"/>
    <numFmt numFmtId="167" formatCode="0.000"/>
    <numFmt numFmtId="168" formatCode="0\ &quot;dias&quot;"/>
    <numFmt numFmtId="169" formatCode="0.0000\ &quot;€/dia&quot;"/>
    <numFmt numFmtId="170" formatCode="0\ &quot;kWh&quot;"/>
    <numFmt numFmtId="171" formatCode="0.0000\ &quot;€/kWh&quot;"/>
    <numFmt numFmtId="172" formatCode="0.000\ &quot;€/kWh&quot;"/>
    <numFmt numFmtId="173" formatCode="0\ &quot;mês&quot;"/>
    <numFmt numFmtId="174" formatCode="0.00\ &quot;€/mês&quot;"/>
    <numFmt numFmtId="175" formatCode="0.000000"/>
    <numFmt numFmtId="176" formatCode="0.0"/>
    <numFmt numFmtId="177" formatCode="0.0000000"/>
  </numFmts>
  <fonts count="30">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1"/>
      <name val="Bodoni Bk BT"/>
    </font>
    <font>
      <b/>
      <sz val="10"/>
      <color indexed="8"/>
      <name val="Arial"/>
      <family val="2"/>
    </font>
    <font>
      <sz val="8"/>
      <name val="Arial"/>
      <family val="2"/>
    </font>
    <font>
      <u/>
      <sz val="11"/>
      <color theme="10"/>
      <name val="Calibri"/>
      <family val="2"/>
      <scheme val="minor"/>
    </font>
    <font>
      <sz val="9"/>
      <color theme="1"/>
      <name val="Calibri"/>
      <family val="2"/>
      <scheme val="minor"/>
    </font>
    <font>
      <sz val="11"/>
      <color theme="0"/>
      <name val="Calibri"/>
      <family val="2"/>
      <scheme val="minor"/>
    </font>
    <font>
      <b/>
      <sz val="11"/>
      <color theme="1"/>
      <name val="Calibri"/>
      <family val="2"/>
    </font>
    <font>
      <b/>
      <sz val="11"/>
      <color theme="0"/>
      <name val="Calibri"/>
      <family val="2"/>
      <scheme val="minor"/>
    </font>
    <font>
      <sz val="9"/>
      <color theme="1"/>
      <name val="Wingdings 3"/>
      <family val="1"/>
      <charset val="2"/>
    </font>
    <font>
      <i/>
      <sz val="11"/>
      <color theme="1"/>
      <name val="Calibri"/>
      <family val="2"/>
      <scheme val="minor"/>
    </font>
    <font>
      <b/>
      <sz val="11"/>
      <color rgb="FFFF0000"/>
      <name val="Calibri"/>
      <family val="2"/>
      <scheme val="minor"/>
    </font>
    <font>
      <b/>
      <sz val="11"/>
      <color theme="8"/>
      <name val="Calibri"/>
      <family val="2"/>
      <scheme val="minor"/>
    </font>
    <font>
      <b/>
      <sz val="10"/>
      <color rgb="FFFF0000"/>
      <name val="Arial"/>
      <family val="2"/>
    </font>
    <font>
      <b/>
      <sz val="12"/>
      <color theme="5"/>
      <name val="Calibri"/>
      <family val="2"/>
      <scheme val="minor"/>
    </font>
    <font>
      <b/>
      <sz val="12"/>
      <color theme="1"/>
      <name val="Calibri"/>
      <family val="2"/>
      <scheme val="minor"/>
    </font>
    <font>
      <b/>
      <sz val="12"/>
      <color theme="8"/>
      <name val="Calibri"/>
      <family val="2"/>
      <scheme val="minor"/>
    </font>
    <font>
      <b/>
      <sz val="12"/>
      <color theme="0"/>
      <name val="Calibri"/>
      <family val="2"/>
      <scheme val="minor"/>
    </font>
    <font>
      <b/>
      <sz val="11"/>
      <color theme="5"/>
      <name val="Calibri"/>
      <family val="2"/>
    </font>
    <font>
      <b/>
      <i/>
      <sz val="11"/>
      <color theme="1"/>
      <name val="Calibri"/>
      <family val="2"/>
    </font>
    <font>
      <b/>
      <sz val="20"/>
      <color theme="5"/>
      <name val="Calibri"/>
      <family val="2"/>
      <scheme val="minor"/>
    </font>
    <font>
      <sz val="9"/>
      <color indexed="81"/>
      <name val="Tahoma"/>
      <family val="2"/>
    </font>
    <font>
      <b/>
      <sz val="9"/>
      <color indexed="81"/>
      <name val="Tahoma"/>
      <family val="2"/>
    </font>
    <font>
      <b/>
      <i/>
      <sz val="11"/>
      <color theme="1"/>
      <name val="Calibri"/>
      <family val="2"/>
      <scheme val="minor"/>
    </font>
    <font>
      <sz val="11"/>
      <color theme="6"/>
      <name val="Calibri"/>
      <family val="2"/>
      <scheme val="minor"/>
    </font>
    <font>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gradientFill degree="90">
        <stop position="0">
          <color rgb="FFFEFEFE"/>
        </stop>
        <stop position="1">
          <color rgb="FFF1F4F8"/>
        </stop>
      </gradientFill>
    </fill>
    <fill>
      <patternFill patternType="solid">
        <fgColor theme="2"/>
        <bgColor indexed="64"/>
      </patternFill>
    </fill>
    <fill>
      <patternFill patternType="solid">
        <fgColor theme="6"/>
        <bgColor indexed="64"/>
      </patternFill>
    </fill>
    <fill>
      <patternFill patternType="solid">
        <fgColor rgb="FFFFFF00"/>
        <bgColor indexed="64"/>
      </patternFill>
    </fill>
    <fill>
      <patternFill patternType="solid">
        <fgColor theme="8"/>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5">
    <xf numFmtId="0" fontId="0" fillId="0" borderId="0"/>
    <xf numFmtId="0" fontId="3" fillId="0" borderId="0"/>
    <xf numFmtId="0" fontId="5" fillId="0" borderId="0"/>
    <xf numFmtId="0" fontId="8" fillId="0" borderId="0" applyNumberFormat="0" applyFill="0" applyBorder="0" applyAlignment="0" applyProtection="0"/>
    <xf numFmtId="9" fontId="29" fillId="0" borderId="0" applyFont="0" applyFill="0" applyBorder="0" applyAlignment="0" applyProtection="0"/>
  </cellStyleXfs>
  <cellXfs count="201">
    <xf numFmtId="0" fontId="0" fillId="0" borderId="0" xfId="0"/>
    <xf numFmtId="0" fontId="4" fillId="2" borderId="1" xfId="2" applyFont="1" applyFill="1" applyBorder="1" applyAlignment="1">
      <alignment vertical="center"/>
    </xf>
    <xf numFmtId="164" fontId="6" fillId="2" borderId="2" xfId="1" applyNumberFormat="1" applyFont="1" applyFill="1" applyBorder="1" applyAlignment="1" applyProtection="1">
      <alignment horizontal="center" vertical="center"/>
      <protection locked="0"/>
    </xf>
    <xf numFmtId="0" fontId="7" fillId="3" borderId="4" xfId="2" applyFont="1" applyFill="1" applyBorder="1" applyAlignment="1">
      <alignment horizontal="left" vertical="center"/>
    </xf>
    <xf numFmtId="0" fontId="7" fillId="3" borderId="3" xfId="2" applyFont="1" applyFill="1" applyBorder="1" applyAlignment="1">
      <alignment horizontal="left" vertical="center"/>
    </xf>
    <xf numFmtId="0" fontId="7" fillId="3" borderId="0" xfId="2" applyFont="1" applyFill="1" applyBorder="1" applyAlignment="1">
      <alignment horizontal="left" vertical="center"/>
    </xf>
    <xf numFmtId="0" fontId="7" fillId="3" borderId="3" xfId="2" applyFont="1" applyFill="1" applyBorder="1" applyAlignment="1">
      <alignment horizontal="center" vertical="center"/>
    </xf>
    <xf numFmtId="0" fontId="7" fillId="3" borderId="4" xfId="2" applyFont="1" applyFill="1" applyBorder="1" applyAlignment="1">
      <alignment vertical="center"/>
    </xf>
    <xf numFmtId="0" fontId="2" fillId="0" borderId="0" xfId="0" applyFont="1"/>
    <xf numFmtId="0" fontId="0" fillId="0" borderId="0" xfId="0" applyAlignment="1">
      <alignment horizontal="right"/>
    </xf>
    <xf numFmtId="0" fontId="0" fillId="4" borderId="0" xfId="0" applyFill="1"/>
    <xf numFmtId="0" fontId="0" fillId="0" borderId="9" xfId="0" quotePrefix="1" applyBorder="1"/>
    <xf numFmtId="0" fontId="0" fillId="0" borderId="10" xfId="0" applyBorder="1"/>
    <xf numFmtId="0" fontId="0" fillId="0" borderId="11" xfId="0" applyBorder="1"/>
    <xf numFmtId="0" fontId="0" fillId="0" borderId="9" xfId="0" quotePrefix="1" applyBorder="1" applyAlignment="1">
      <alignment horizontal="right"/>
    </xf>
    <xf numFmtId="0" fontId="4" fillId="3" borderId="12" xfId="2" applyFont="1" applyFill="1" applyBorder="1" applyAlignment="1">
      <alignment vertical="center"/>
    </xf>
    <xf numFmtId="0" fontId="4" fillId="3" borderId="13" xfId="2" applyFont="1" applyFill="1" applyBorder="1" applyAlignment="1">
      <alignment vertical="center"/>
    </xf>
    <xf numFmtId="0" fontId="7" fillId="3" borderId="13" xfId="2" applyFont="1" applyFill="1" applyBorder="1" applyAlignment="1">
      <alignment vertical="center"/>
    </xf>
    <xf numFmtId="0" fontId="0" fillId="0" borderId="13" xfId="0" applyBorder="1"/>
    <xf numFmtId="0" fontId="7" fillId="3" borderId="7" xfId="2" applyFont="1" applyFill="1" applyBorder="1" applyAlignment="1">
      <alignment vertical="center"/>
    </xf>
    <xf numFmtId="0" fontId="7" fillId="3" borderId="3" xfId="2" applyFont="1" applyFill="1" applyBorder="1" applyAlignment="1">
      <alignment horizontal="centerContinuous" vertical="center"/>
    </xf>
    <xf numFmtId="0" fontId="0" fillId="0" borderId="0" xfId="0" applyBorder="1"/>
    <xf numFmtId="0" fontId="0" fillId="0" borderId="0" xfId="0" applyProtection="1"/>
    <xf numFmtId="0" fontId="1" fillId="0" borderId="0" xfId="0" applyFont="1" applyProtection="1"/>
    <xf numFmtId="0" fontId="0" fillId="0" borderId="0" xfId="0" applyFill="1" applyProtection="1"/>
    <xf numFmtId="0" fontId="0" fillId="0" borderId="0" xfId="0" applyFill="1" applyAlignment="1" applyProtection="1">
      <alignment horizontal="right"/>
    </xf>
    <xf numFmtId="0" fontId="0" fillId="0" borderId="0" xfId="0" quotePrefix="1" applyProtection="1"/>
    <xf numFmtId="0" fontId="0" fillId="0" borderId="0" xfId="0" applyAlignment="1"/>
    <xf numFmtId="0" fontId="0" fillId="0" borderId="0" xfId="0" applyBorder="1" applyAlignment="1">
      <alignment horizontal="center"/>
    </xf>
    <xf numFmtId="0" fontId="2" fillId="0" borderId="0" xfId="0" applyFont="1" applyFill="1" applyBorder="1"/>
    <xf numFmtId="0" fontId="0" fillId="0" borderId="0" xfId="0" applyFill="1" applyBorder="1"/>
    <xf numFmtId="0" fontId="15" fillId="0" borderId="0" xfId="0" applyFont="1"/>
    <xf numFmtId="0" fontId="0" fillId="0" borderId="0" xfId="0" applyAlignment="1" applyProtection="1">
      <alignment horizontal="left" vertical="top" wrapText="1"/>
    </xf>
    <xf numFmtId="0" fontId="2" fillId="0" borderId="0" xfId="0" applyFont="1" applyBorder="1" applyAlignment="1">
      <alignment horizontal="center"/>
    </xf>
    <xf numFmtId="0" fontId="14" fillId="0" borderId="14" xfId="0" applyFont="1" applyBorder="1" applyAlignment="1">
      <alignment horizontal="left" indent="1"/>
    </xf>
    <xf numFmtId="166" fontId="0" fillId="0" borderId="14" xfId="0" applyNumberFormat="1" applyBorder="1" applyAlignment="1">
      <alignment horizontal="right"/>
    </xf>
    <xf numFmtId="0" fontId="2" fillId="0" borderId="14" xfId="0" applyFont="1" applyBorder="1" applyAlignment="1">
      <alignment horizontal="center"/>
    </xf>
    <xf numFmtId="168" fontId="0" fillId="0" borderId="14" xfId="0" applyNumberFormat="1" applyBorder="1" applyAlignment="1">
      <alignment horizontal="center"/>
    </xf>
    <xf numFmtId="169" fontId="0" fillId="0" borderId="14" xfId="0" applyNumberFormat="1" applyBorder="1" applyAlignment="1">
      <alignment horizontal="center"/>
    </xf>
    <xf numFmtId="170" fontId="0" fillId="0" borderId="0" xfId="0" applyNumberFormat="1" applyBorder="1" applyAlignment="1">
      <alignment horizontal="center"/>
    </xf>
    <xf numFmtId="171" fontId="0" fillId="0" borderId="16" xfId="0" applyNumberFormat="1" applyBorder="1" applyAlignment="1">
      <alignment horizontal="center"/>
    </xf>
    <xf numFmtId="172" fontId="0" fillId="0" borderId="16" xfId="0" applyNumberFormat="1" applyBorder="1" applyAlignment="1">
      <alignment horizontal="center"/>
    </xf>
    <xf numFmtId="173" fontId="0" fillId="0" borderId="14" xfId="0" applyNumberFormat="1" applyBorder="1" applyAlignment="1">
      <alignment horizontal="center"/>
    </xf>
    <xf numFmtId="174" fontId="0" fillId="0" borderId="18" xfId="0" applyNumberFormat="1" applyBorder="1" applyAlignment="1">
      <alignment horizontal="center"/>
    </xf>
    <xf numFmtId="0" fontId="2" fillId="0" borderId="20" xfId="0" applyFont="1" applyBorder="1" applyAlignment="1">
      <alignment horizontal="center"/>
    </xf>
    <xf numFmtId="173" fontId="2" fillId="0" borderId="21" xfId="0" applyNumberFormat="1" applyFont="1" applyBorder="1" applyAlignment="1">
      <alignment horizontal="center"/>
    </xf>
    <xf numFmtId="0" fontId="2" fillId="0" borderId="21" xfId="0" applyFont="1" applyBorder="1" applyAlignment="1">
      <alignment horizontal="center"/>
    </xf>
    <xf numFmtId="174" fontId="2" fillId="0" borderId="21" xfId="0" applyNumberFormat="1" applyFont="1" applyBorder="1" applyAlignment="1">
      <alignment horizontal="center"/>
    </xf>
    <xf numFmtId="173" fontId="2" fillId="0" borderId="0" xfId="0" applyNumberFormat="1" applyFont="1" applyBorder="1" applyAlignment="1">
      <alignment horizontal="center"/>
    </xf>
    <xf numFmtId="174" fontId="2" fillId="0" borderId="0" xfId="0" applyNumberFormat="1" applyFont="1" applyBorder="1" applyAlignment="1">
      <alignment horizont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3" xfId="0" applyBorder="1"/>
    <xf numFmtId="165" fontId="17" fillId="9" borderId="2" xfId="2" applyNumberFormat="1" applyFont="1" applyFill="1" applyBorder="1" applyAlignment="1">
      <alignment horizontal="center" vertical="center"/>
    </xf>
    <xf numFmtId="168" fontId="0" fillId="0" borderId="21" xfId="0" applyNumberFormat="1" applyBorder="1" applyAlignment="1">
      <alignment horizontal="center"/>
    </xf>
    <xf numFmtId="169" fontId="0" fillId="0" borderId="22" xfId="0" applyNumberFormat="1" applyBorder="1" applyAlignment="1">
      <alignment horizontal="center"/>
    </xf>
    <xf numFmtId="0" fontId="19" fillId="4" borderId="8" xfId="0" applyFont="1" applyFill="1" applyBorder="1"/>
    <xf numFmtId="0" fontId="2" fillId="7" borderId="9" xfId="0" applyFont="1" applyFill="1" applyBorder="1"/>
    <xf numFmtId="0" fontId="2" fillId="7" borderId="11" xfId="0" applyFont="1" applyFill="1" applyBorder="1"/>
    <xf numFmtId="0" fontId="0" fillId="0" borderId="9" xfId="0" applyBorder="1"/>
    <xf numFmtId="0" fontId="18" fillId="0" borderId="0" xfId="0" applyFont="1" applyFill="1" applyBorder="1"/>
    <xf numFmtId="0" fontId="14" fillId="0" borderId="0" xfId="0" applyFont="1" applyFill="1" applyBorder="1" applyAlignment="1">
      <alignment horizontal="left" indent="1"/>
    </xf>
    <xf numFmtId="0" fontId="19" fillId="0" borderId="0" xfId="0" applyFont="1" applyFill="1" applyBorder="1"/>
    <xf numFmtId="166" fontId="0" fillId="0" borderId="20" xfId="0" applyNumberFormat="1" applyBorder="1" applyAlignment="1">
      <alignment horizontal="center"/>
    </xf>
    <xf numFmtId="166" fontId="0" fillId="0" borderId="15" xfId="0" applyNumberFormat="1" applyBorder="1" applyAlignment="1">
      <alignment horizontal="center"/>
    </xf>
    <xf numFmtId="166" fontId="0" fillId="0" borderId="17" xfId="0" applyNumberFormat="1" applyBorder="1" applyAlignment="1">
      <alignment horizontal="center"/>
    </xf>
    <xf numFmtId="166" fontId="2" fillId="7" borderId="9" xfId="0" applyNumberFormat="1" applyFont="1" applyFill="1" applyBorder="1" applyAlignment="1">
      <alignment horizontal="center"/>
    </xf>
    <xf numFmtId="166" fontId="2" fillId="7" borderId="11" xfId="0" applyNumberFormat="1" applyFont="1" applyFill="1" applyBorder="1" applyAlignment="1">
      <alignment horizontal="center"/>
    </xf>
    <xf numFmtId="166" fontId="19" fillId="4" borderId="8" xfId="0" applyNumberFormat="1" applyFont="1" applyFill="1" applyBorder="1" applyAlignment="1">
      <alignment horizontal="center"/>
    </xf>
    <xf numFmtId="0" fontId="21" fillId="5" borderId="8" xfId="0" applyFont="1" applyFill="1" applyBorder="1"/>
    <xf numFmtId="0" fontId="0" fillId="0" borderId="3" xfId="0" applyFill="1" applyBorder="1"/>
    <xf numFmtId="9" fontId="15" fillId="9" borderId="3" xfId="0" applyNumberFormat="1" applyFont="1" applyFill="1" applyBorder="1"/>
    <xf numFmtId="167" fontId="15" fillId="9" borderId="3" xfId="0" applyNumberFormat="1" applyFont="1" applyFill="1" applyBorder="1"/>
    <xf numFmtId="0" fontId="15" fillId="9" borderId="8" xfId="0" applyFont="1" applyFill="1" applyBorder="1"/>
    <xf numFmtId="0" fontId="12" fillId="5" borderId="0" xfId="0" applyFont="1" applyFill="1"/>
    <xf numFmtId="0" fontId="10" fillId="5" borderId="0" xfId="0" applyFont="1" applyFill="1"/>
    <xf numFmtId="0" fontId="0" fillId="0" borderId="3" xfId="0" quotePrefix="1" applyBorder="1"/>
    <xf numFmtId="0" fontId="0" fillId="8" borderId="3" xfId="0" quotePrefix="1" applyFill="1" applyBorder="1"/>
    <xf numFmtId="0" fontId="2" fillId="4" borderId="3" xfId="0" applyFont="1" applyFill="1" applyBorder="1"/>
    <xf numFmtId="0" fontId="2" fillId="4" borderId="1" xfId="0" applyFont="1" applyFill="1" applyBorder="1"/>
    <xf numFmtId="0" fontId="0" fillId="4" borderId="25" xfId="0" applyFill="1" applyBorder="1"/>
    <xf numFmtId="0" fontId="0" fillId="4" borderId="2" xfId="0" applyFill="1" applyBorder="1"/>
    <xf numFmtId="0" fontId="0" fillId="7" borderId="3" xfId="0" applyFill="1" applyBorder="1"/>
    <xf numFmtId="0" fontId="0" fillId="0" borderId="0" xfId="0" applyAlignment="1">
      <alignment horizontal="left" indent="1"/>
    </xf>
    <xf numFmtId="0" fontId="2" fillId="0" borderId="3" xfId="0" applyFont="1" applyBorder="1" applyAlignment="1">
      <alignment horizontal="center"/>
    </xf>
    <xf numFmtId="0" fontId="2" fillId="10" borderId="3" xfId="0" applyFont="1" applyFill="1" applyBorder="1"/>
    <xf numFmtId="0" fontId="2" fillId="10" borderId="3" xfId="0" applyFont="1" applyFill="1" applyBorder="1" applyAlignment="1">
      <alignment horizontal="center"/>
    </xf>
    <xf numFmtId="165" fontId="0" fillId="0" borderId="3" xfId="0" applyNumberFormat="1" applyBorder="1"/>
    <xf numFmtId="0" fontId="0" fillId="0" borderId="0" xfId="0" applyAlignment="1">
      <alignment horizontal="left"/>
    </xf>
    <xf numFmtId="0" fontId="0" fillId="0" borderId="26" xfId="0" applyBorder="1"/>
    <xf numFmtId="0" fontId="0" fillId="0" borderId="27" xfId="0" applyBorder="1"/>
    <xf numFmtId="0" fontId="0" fillId="0" borderId="6" xfId="0" applyBorder="1"/>
    <xf numFmtId="0" fontId="0" fillId="0" borderId="28" xfId="0" applyBorder="1"/>
    <xf numFmtId="0" fontId="0" fillId="0" borderId="29" xfId="0" applyBorder="1"/>
    <xf numFmtId="0" fontId="14" fillId="0" borderId="28" xfId="0" applyFont="1" applyBorder="1" applyAlignment="1">
      <alignment horizontal="right"/>
    </xf>
    <xf numFmtId="0" fontId="0" fillId="0" borderId="28" xfId="0" applyBorder="1" applyAlignment="1">
      <alignment horizontal="right"/>
    </xf>
    <xf numFmtId="0" fontId="16" fillId="0" borderId="0" xfId="0" applyFont="1" applyBorder="1" applyAlignment="1">
      <alignment horizontal="left" indent="1"/>
    </xf>
    <xf numFmtId="0" fontId="20" fillId="0" borderId="0" xfId="0" applyFont="1" applyBorder="1" applyAlignment="1">
      <alignment horizontal="left" indent="1"/>
    </xf>
    <xf numFmtId="0" fontId="0" fillId="0" borderId="30" xfId="0" applyBorder="1"/>
    <xf numFmtId="0" fontId="0" fillId="0" borderId="4" xfId="0" applyBorder="1"/>
    <xf numFmtId="0" fontId="0" fillId="0" borderId="5" xfId="0" applyBorder="1"/>
    <xf numFmtId="0" fontId="10" fillId="0" borderId="32" xfId="0" applyFont="1" applyFill="1" applyBorder="1" applyAlignment="1" applyProtection="1">
      <alignment horizontal="center"/>
      <protection locked="0"/>
    </xf>
    <xf numFmtId="0" fontId="10" fillId="0" borderId="33" xfId="0" applyFont="1" applyFill="1" applyBorder="1" applyAlignment="1" applyProtection="1">
      <alignment horizontal="center"/>
      <protection locked="0"/>
    </xf>
    <xf numFmtId="1" fontId="0" fillId="0" borderId="3" xfId="0" applyNumberFormat="1" applyBorder="1"/>
    <xf numFmtId="0" fontId="15" fillId="0" borderId="0" xfId="0" applyFont="1" applyFill="1" applyBorder="1"/>
    <xf numFmtId="0" fontId="0" fillId="0" borderId="0" xfId="0" applyProtection="1">
      <protection hidden="1"/>
    </xf>
    <xf numFmtId="0" fontId="24" fillId="0" borderId="0" xfId="0" applyFont="1" applyProtection="1">
      <protection hidden="1"/>
    </xf>
    <xf numFmtId="0" fontId="14" fillId="0" borderId="0" xfId="0" applyFont="1" applyProtection="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0" fontId="1" fillId="0" borderId="0" xfId="0" applyFont="1" applyProtection="1">
      <protection hidden="1"/>
    </xf>
    <xf numFmtId="0" fontId="2" fillId="0" borderId="0" xfId="0" applyFont="1" applyFill="1" applyProtection="1">
      <protection hidden="1"/>
    </xf>
    <xf numFmtId="0" fontId="0" fillId="0" borderId="0" xfId="0" quotePrefix="1" applyProtection="1">
      <protection hidden="1"/>
    </xf>
    <xf numFmtId="0" fontId="0" fillId="0" borderId="0" xfId="0" applyFill="1" applyAlignment="1" applyProtection="1">
      <alignment horizontal="right"/>
      <protection hidden="1"/>
    </xf>
    <xf numFmtId="0" fontId="0" fillId="0" borderId="0" xfId="0" applyFill="1" applyProtection="1">
      <protection hidden="1"/>
    </xf>
    <xf numFmtId="0" fontId="2" fillId="0" borderId="0" xfId="0" applyFont="1" applyFill="1" applyAlignment="1" applyProtection="1">
      <alignment horizontal="left"/>
      <protection hidden="1"/>
    </xf>
    <xf numFmtId="0" fontId="0" fillId="0" borderId="0" xfId="0" applyAlignment="1" applyProtection="1">
      <alignment horizontal="center" vertical="center"/>
      <protection hidden="1"/>
    </xf>
    <xf numFmtId="0" fontId="0" fillId="0" borderId="0" xfId="0" applyFill="1" applyAlignment="1" applyProtection="1">
      <alignment horizontal="right" indent="2"/>
      <protection hidden="1"/>
    </xf>
    <xf numFmtId="0" fontId="2" fillId="0" borderId="0" xfId="0" applyFont="1" applyProtection="1">
      <protection hidden="1"/>
    </xf>
    <xf numFmtId="0" fontId="9" fillId="0" borderId="0" xfId="0" applyFont="1" applyAlignment="1" applyProtection="1">
      <alignment horizontal="left" indent="1"/>
      <protection hidden="1"/>
    </xf>
    <xf numFmtId="0" fontId="0" fillId="0" borderId="27" xfId="0" applyBorder="1" applyProtection="1">
      <protection hidden="1"/>
    </xf>
    <xf numFmtId="0" fontId="19" fillId="0" borderId="0" xfId="0" applyFont="1" applyProtection="1">
      <protection hidden="1"/>
    </xf>
    <xf numFmtId="0" fontId="12" fillId="0" borderId="0" xfId="0" applyFont="1" applyFill="1" applyBorder="1" applyAlignment="1" applyProtection="1">
      <alignment horizontal="center"/>
      <protection locked="0"/>
    </xf>
    <xf numFmtId="0" fontId="12" fillId="0" borderId="31" xfId="0" applyFont="1" applyFill="1" applyBorder="1" applyAlignment="1" applyProtection="1">
      <alignment horizontal="center"/>
      <protection locked="0"/>
    </xf>
    <xf numFmtId="0" fontId="0" fillId="11" borderId="34" xfId="0" applyFill="1" applyBorder="1"/>
    <xf numFmtId="0" fontId="0" fillId="11" borderId="37" xfId="0" applyFill="1" applyBorder="1"/>
    <xf numFmtId="0" fontId="14" fillId="11" borderId="37" xfId="0" applyFont="1" applyFill="1" applyBorder="1" applyAlignment="1">
      <alignment horizontal="right"/>
    </xf>
    <xf numFmtId="0" fontId="0" fillId="11" borderId="37" xfId="0" applyFill="1" applyBorder="1" applyAlignment="1">
      <alignment horizontal="right"/>
    </xf>
    <xf numFmtId="0" fontId="0" fillId="11" borderId="39" xfId="0" applyFill="1" applyBorder="1"/>
    <xf numFmtId="0" fontId="0" fillId="11" borderId="35" xfId="0" applyFill="1" applyBorder="1"/>
    <xf numFmtId="0" fontId="0" fillId="11" borderId="36" xfId="0" applyFill="1" applyBorder="1"/>
    <xf numFmtId="0" fontId="0" fillId="11" borderId="38" xfId="0" applyFill="1" applyBorder="1"/>
    <xf numFmtId="0" fontId="0" fillId="11" borderId="41" xfId="0" applyFill="1" applyBorder="1"/>
    <xf numFmtId="0" fontId="0" fillId="11" borderId="40" xfId="0" applyFill="1" applyBorder="1"/>
    <xf numFmtId="0" fontId="0" fillId="11" borderId="0" xfId="0" applyFill="1" applyBorder="1"/>
    <xf numFmtId="0" fontId="0" fillId="11" borderId="0" xfId="0" applyFill="1" applyBorder="1" applyAlignment="1">
      <alignment horizontal="center"/>
    </xf>
    <xf numFmtId="0" fontId="20" fillId="11" borderId="0" xfId="0" applyFont="1" applyFill="1" applyBorder="1" applyAlignment="1">
      <alignment horizontal="left" indent="1"/>
    </xf>
    <xf numFmtId="0" fontId="2" fillId="11" borderId="20" xfId="0" applyFont="1" applyFill="1" applyBorder="1" applyAlignment="1">
      <alignment horizontal="center"/>
    </xf>
    <xf numFmtId="173" fontId="2" fillId="11" borderId="21" xfId="0" applyNumberFormat="1" applyFont="1" applyFill="1" applyBorder="1" applyAlignment="1">
      <alignment horizontal="center"/>
    </xf>
    <xf numFmtId="0" fontId="2" fillId="11" borderId="21" xfId="0" applyFont="1" applyFill="1" applyBorder="1" applyAlignment="1">
      <alignment horizontal="center"/>
    </xf>
    <xf numFmtId="174" fontId="2" fillId="11" borderId="21" xfId="0" applyNumberFormat="1" applyFont="1" applyFill="1" applyBorder="1" applyAlignment="1">
      <alignment horizontal="center"/>
    </xf>
    <xf numFmtId="0" fontId="16" fillId="11" borderId="0" xfId="0" applyFont="1" applyFill="1" applyBorder="1" applyAlignment="1">
      <alignment horizontal="left" indent="1"/>
    </xf>
    <xf numFmtId="173" fontId="2" fillId="11" borderId="0" xfId="0" applyNumberFormat="1" applyFont="1" applyFill="1" applyBorder="1" applyAlignment="1">
      <alignment horizontal="center"/>
    </xf>
    <xf numFmtId="0" fontId="2" fillId="11" borderId="0" xfId="0" applyFont="1" applyFill="1" applyBorder="1" applyAlignment="1">
      <alignment horizontal="center"/>
    </xf>
    <xf numFmtId="174" fontId="2" fillId="11" borderId="0" xfId="0" applyNumberFormat="1" applyFont="1" applyFill="1" applyBorder="1" applyAlignment="1">
      <alignment horizontal="center"/>
    </xf>
    <xf numFmtId="0" fontId="18" fillId="11" borderId="0" xfId="0" applyFont="1" applyFill="1" applyBorder="1"/>
    <xf numFmtId="0" fontId="14" fillId="11" borderId="0" xfId="0" applyFont="1" applyFill="1" applyBorder="1" applyAlignment="1">
      <alignment horizontal="left" indent="1"/>
    </xf>
    <xf numFmtId="0" fontId="2" fillId="11" borderId="0" xfId="0" applyFont="1" applyFill="1" applyBorder="1"/>
    <xf numFmtId="0" fontId="19" fillId="11" borderId="0" xfId="0" applyFont="1" applyFill="1" applyBorder="1"/>
    <xf numFmtId="0" fontId="14" fillId="11" borderId="14" xfId="0" applyFont="1" applyFill="1" applyBorder="1" applyAlignment="1">
      <alignment horizontal="left" indent="1"/>
    </xf>
    <xf numFmtId="166" fontId="0" fillId="11" borderId="14" xfId="0" applyNumberFormat="1" applyFill="1" applyBorder="1" applyAlignment="1">
      <alignment horizontal="right"/>
    </xf>
    <xf numFmtId="0" fontId="2" fillId="11" borderId="14" xfId="0" applyFont="1" applyFill="1" applyBorder="1" applyAlignment="1">
      <alignment horizontal="center"/>
    </xf>
    <xf numFmtId="168" fontId="0" fillId="11" borderId="14" xfId="0" applyNumberFormat="1" applyFill="1" applyBorder="1" applyAlignment="1">
      <alignment horizontal="center"/>
    </xf>
    <xf numFmtId="169" fontId="0" fillId="11" borderId="14" xfId="0" applyNumberFormat="1" applyFill="1" applyBorder="1" applyAlignment="1">
      <alignment horizontal="center"/>
    </xf>
    <xf numFmtId="0" fontId="7" fillId="3" borderId="3" xfId="2" quotePrefix="1" applyFont="1" applyFill="1" applyBorder="1" applyAlignment="1">
      <alignment horizontal="center" vertical="center"/>
    </xf>
    <xf numFmtId="0" fontId="0" fillId="0" borderId="9" xfId="0" quotePrefix="1" applyBorder="1" applyAlignment="1">
      <alignment horizontal="left"/>
    </xf>
    <xf numFmtId="0" fontId="1" fillId="0" borderId="3" xfId="0" applyFont="1" applyBorder="1"/>
    <xf numFmtId="0" fontId="24" fillId="0" borderId="0" xfId="0" applyFont="1" applyProtection="1"/>
    <xf numFmtId="0" fontId="14" fillId="0" borderId="0" xfId="0" applyFont="1" applyProtection="1"/>
    <xf numFmtId="0" fontId="0" fillId="0" borderId="0" xfId="0" applyAlignment="1" applyProtection="1">
      <alignment horizontal="left" vertical="top"/>
    </xf>
    <xf numFmtId="0" fontId="2" fillId="0" borderId="0" xfId="0" applyFont="1" applyFill="1" applyProtection="1"/>
    <xf numFmtId="0" fontId="2" fillId="0" borderId="0" xfId="0" applyFont="1" applyFill="1" applyAlignment="1" applyProtection="1">
      <alignment horizontal="left"/>
    </xf>
    <xf numFmtId="0" fontId="0" fillId="0" borderId="0" xfId="0" applyAlignment="1" applyProtection="1">
      <alignment horizontal="center" vertical="center"/>
    </xf>
    <xf numFmtId="0" fontId="0" fillId="0" borderId="27" xfId="0" applyBorder="1" applyProtection="1"/>
    <xf numFmtId="0" fontId="19" fillId="0" borderId="0" xfId="0" applyFont="1" applyProtection="1"/>
    <xf numFmtId="0" fontId="12" fillId="0" borderId="0" xfId="0" applyFont="1" applyFill="1" applyBorder="1" applyAlignment="1" applyProtection="1">
      <alignment horizontal="center"/>
      <protection locked="0" hidden="1"/>
    </xf>
    <xf numFmtId="0" fontId="10" fillId="0" borderId="0" xfId="0" applyFont="1" applyAlignment="1" applyProtection="1">
      <alignment horizontal="center" vertical="top" wrapText="1"/>
      <protection locked="0" hidden="1"/>
    </xf>
    <xf numFmtId="0" fontId="13" fillId="6" borderId="19" xfId="0" applyFont="1" applyFill="1" applyBorder="1" applyAlignment="1" applyProtection="1">
      <alignment horizontal="center" vertical="center" shrinkToFit="1"/>
      <protection locked="0" hidden="1"/>
    </xf>
    <xf numFmtId="0" fontId="13" fillId="6" borderId="19" xfId="0" applyFont="1" applyFill="1" applyBorder="1" applyAlignment="1" applyProtection="1">
      <alignment horizontal="center" vertical="center" shrinkToFit="1"/>
      <protection locked="0"/>
    </xf>
    <xf numFmtId="175" fontId="17" fillId="9" borderId="2" xfId="2" applyNumberFormat="1" applyFont="1" applyFill="1" applyBorder="1" applyAlignment="1">
      <alignment horizontal="center" vertical="center"/>
    </xf>
    <xf numFmtId="0" fontId="0" fillId="0" borderId="3" xfId="0" applyFill="1" applyBorder="1" applyAlignment="1">
      <alignment horizontal="left" indent="2"/>
    </xf>
    <xf numFmtId="0" fontId="0" fillId="0" borderId="3" xfId="0" applyBorder="1" applyAlignment="1">
      <alignment horizontal="left" indent="2"/>
    </xf>
    <xf numFmtId="0" fontId="2" fillId="7" borderId="3" xfId="0" applyFont="1" applyFill="1" applyBorder="1"/>
    <xf numFmtId="9" fontId="15" fillId="7" borderId="3" xfId="0" applyNumberFormat="1" applyFont="1" applyFill="1" applyBorder="1"/>
    <xf numFmtId="0" fontId="15" fillId="9" borderId="3" xfId="0" applyFont="1" applyFill="1" applyBorder="1"/>
    <xf numFmtId="176" fontId="0" fillId="8" borderId="3" xfId="0" quotePrefix="1" applyNumberFormat="1" applyFill="1" applyBorder="1"/>
    <xf numFmtId="176" fontId="0" fillId="0" borderId="3" xfId="0" applyNumberFormat="1" applyBorder="1"/>
    <xf numFmtId="176" fontId="0" fillId="0" borderId="3" xfId="0" quotePrefix="1" applyNumberFormat="1" applyBorder="1"/>
    <xf numFmtId="0" fontId="0" fillId="0" borderId="10" xfId="0" applyFill="1" applyBorder="1"/>
    <xf numFmtId="0" fontId="0" fillId="0" borderId="11" xfId="0" applyFill="1" applyBorder="1"/>
    <xf numFmtId="9" fontId="0" fillId="0" borderId="3" xfId="0" applyNumberFormat="1" applyFont="1" applyFill="1" applyBorder="1"/>
    <xf numFmtId="0" fontId="14" fillId="0" borderId="0" xfId="0" applyFont="1" applyAlignment="1" applyProtection="1">
      <alignment horizontal="left" vertical="top"/>
      <protection hidden="1"/>
    </xf>
    <xf numFmtId="0" fontId="14" fillId="0" borderId="0" xfId="0" applyFont="1" applyAlignment="1" applyProtection="1">
      <alignment horizontal="left" indent="1"/>
      <protection hidden="1"/>
    </xf>
    <xf numFmtId="0" fontId="1" fillId="0" borderId="0" xfId="0" applyFont="1"/>
    <xf numFmtId="0" fontId="8" fillId="0" borderId="0" xfId="3" applyProtection="1">
      <protection locked="0" hidden="1"/>
    </xf>
    <xf numFmtId="0" fontId="0" fillId="0" borderId="0" xfId="0" applyProtection="1">
      <protection locked="0" hidden="1"/>
    </xf>
    <xf numFmtId="0" fontId="0" fillId="0" borderId="0" xfId="0" applyProtection="1">
      <protection locked="0"/>
    </xf>
    <xf numFmtId="0" fontId="1" fillId="9" borderId="3" xfId="0" applyFont="1" applyFill="1" applyBorder="1" applyAlignment="1">
      <alignment horizontal="left"/>
    </xf>
    <xf numFmtId="0" fontId="28" fillId="0" borderId="0" xfId="0" applyFont="1"/>
    <xf numFmtId="177" fontId="15" fillId="9" borderId="3" xfId="0" applyNumberFormat="1" applyFont="1" applyFill="1" applyBorder="1"/>
    <xf numFmtId="168" fontId="0" fillId="0" borderId="0" xfId="0" applyNumberFormat="1" applyBorder="1" applyAlignment="1">
      <alignment horizontal="center"/>
    </xf>
    <xf numFmtId="169" fontId="0" fillId="0" borderId="16" xfId="0" applyNumberFormat="1" applyBorder="1" applyAlignment="1">
      <alignment horizontal="center"/>
    </xf>
    <xf numFmtId="9" fontId="0" fillId="0" borderId="3" xfId="4" applyFont="1" applyBorder="1"/>
    <xf numFmtId="9" fontId="0" fillId="0" borderId="0" xfId="4" applyFont="1" applyBorder="1"/>
    <xf numFmtId="0" fontId="12" fillId="5" borderId="23" xfId="0" applyFont="1" applyFill="1" applyBorder="1" applyAlignment="1">
      <alignment horizontal="center" vertical="center"/>
    </xf>
    <xf numFmtId="0" fontId="12" fillId="5" borderId="24" xfId="0" applyFont="1" applyFill="1" applyBorder="1" applyAlignment="1">
      <alignment horizontal="center" vertical="center"/>
    </xf>
    <xf numFmtId="2" fontId="0" fillId="0" borderId="3" xfId="0" applyNumberFormat="1" applyBorder="1"/>
    <xf numFmtId="0" fontId="0" fillId="0" borderId="0" xfId="0" applyAlignment="1" applyProtection="1">
      <alignment horizontal="left" vertical="top" wrapText="1"/>
      <protection hidden="1"/>
    </xf>
    <xf numFmtId="0" fontId="0" fillId="0" borderId="0" xfId="0" applyAlignment="1" applyProtection="1">
      <alignment horizontal="left" vertical="top" wrapText="1"/>
    </xf>
    <xf numFmtId="0" fontId="7" fillId="3" borderId="6" xfId="2" applyFont="1" applyFill="1" applyBorder="1" applyAlignment="1">
      <alignment horizontal="left" vertical="center"/>
    </xf>
    <xf numFmtId="0" fontId="0" fillId="0" borderId="5" xfId="0" applyBorder="1" applyAlignment="1">
      <alignment vertical="center"/>
    </xf>
  </cellXfs>
  <cellStyles count="5">
    <cellStyle name="Hiperligação" xfId="3" builtinId="8"/>
    <cellStyle name="Normal" xfId="0" builtinId="0"/>
    <cellStyle name="Normal_Quant_02_1" xfId="2" xr:uid="{00000000-0005-0000-0000-000002000000}"/>
    <cellStyle name="Normal_variacoestarifas" xfId="1" xr:uid="{00000000-0005-0000-0000-000003000000}"/>
    <cellStyle name="Percentagem" xfId="4" builtinId="5"/>
  </cellStyles>
  <dxfs count="2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b/>
        <i val="0"/>
        <color theme="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color theme="0"/>
      </font>
      <fill>
        <patternFill>
          <bgColor theme="5"/>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font>
      <fill>
        <patternFill>
          <bgColor theme="5"/>
        </patternFill>
      </fill>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color theme="0"/>
      </font>
      <fill>
        <patternFill>
          <bgColor theme="5"/>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hyperlink" Target="http://www.erse.p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www.erse.pt" TargetMode="External"/><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16</xdr:col>
      <xdr:colOff>252941</xdr:colOff>
      <xdr:row>0</xdr:row>
      <xdr:rowOff>138113</xdr:rowOff>
    </xdr:from>
    <xdr:to>
      <xdr:col>19</xdr:col>
      <xdr:colOff>390101</xdr:colOff>
      <xdr:row>2</xdr:row>
      <xdr:rowOff>170921</xdr:rowOff>
    </xdr:to>
    <xdr:pic>
      <xdr:nvPicPr>
        <xdr:cNvPr id="9" name="Imagem 8">
          <a:hlinkClick xmlns:r="http://schemas.openxmlformats.org/officeDocument/2006/relationships" r:id="rId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54591" y="138113"/>
          <a:ext cx="1965960" cy="5566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631031</xdr:colOff>
          <xdr:row>3</xdr:row>
          <xdr:rowOff>71438</xdr:rowOff>
        </xdr:from>
        <xdr:to>
          <xdr:col>19</xdr:col>
          <xdr:colOff>444673</xdr:colOff>
          <xdr:row>31</xdr:row>
          <xdr:rowOff>102563</xdr:rowOff>
        </xdr:to>
        <xdr:pic>
          <xdr:nvPicPr>
            <xdr:cNvPr id="4" name="Imagem 3">
              <a:extLst>
                <a:ext uri="{FF2B5EF4-FFF2-40B4-BE49-F238E27FC236}">
                  <a16:creationId xmlns:a16="http://schemas.microsoft.com/office/drawing/2014/main" id="{CCF74B19-4D08-46B8-9B40-4468903E85F1}"/>
                </a:ext>
              </a:extLst>
            </xdr:cNvPr>
            <xdr:cNvPicPr>
              <a:picLocks noChangeAspect="1" noChangeArrowheads="1"/>
              <a:extLst>
                <a:ext uri="{84589F7E-364E-4C9E-8A38-B11213B215E9}">
                  <a14:cameraTool cellRange="'Dados Eletricidade'!$N$122:$X$147" spid="_x0000_s1783"/>
                </a:ext>
              </a:extLst>
            </xdr:cNvPicPr>
          </xdr:nvPicPr>
          <xdr:blipFill>
            <a:blip xmlns:r="http://schemas.openxmlformats.org/officeDocument/2006/relationships" r:embed="rId3"/>
            <a:srcRect/>
            <a:stretch>
              <a:fillRect/>
            </a:stretch>
          </xdr:blipFill>
          <xdr:spPr bwMode="auto">
            <a:xfrm>
              <a:off x="6822281" y="785813"/>
              <a:ext cx="9302923" cy="550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5292</xdr:colOff>
          <xdr:row>9</xdr:row>
          <xdr:rowOff>66675</xdr:rowOff>
        </xdr:from>
        <xdr:to>
          <xdr:col>22</xdr:col>
          <xdr:colOff>19050</xdr:colOff>
          <xdr:row>25</xdr:row>
          <xdr:rowOff>54769</xdr:rowOff>
        </xdr:to>
        <xdr:pic>
          <xdr:nvPicPr>
            <xdr:cNvPr id="3" name="Imagem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Dados Gás'!$O$43:$W$58" spid="_x0000_s7399"/>
                </a:ext>
              </a:extLst>
            </xdr:cNvPicPr>
          </xdr:nvPicPr>
          <xdr:blipFill>
            <a:blip xmlns:r="http://schemas.openxmlformats.org/officeDocument/2006/relationships" r:embed="rId1"/>
            <a:srcRect/>
            <a:stretch>
              <a:fillRect/>
            </a:stretch>
          </xdr:blipFill>
          <xdr:spPr bwMode="auto">
            <a:xfrm>
              <a:off x="7591425" y="2242608"/>
              <a:ext cx="10368492" cy="296836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357716</xdr:colOff>
      <xdr:row>0</xdr:row>
      <xdr:rowOff>176213</xdr:rowOff>
    </xdr:from>
    <xdr:to>
      <xdr:col>21</xdr:col>
      <xdr:colOff>494876</xdr:colOff>
      <xdr:row>3</xdr:row>
      <xdr:rowOff>18521</xdr:rowOff>
    </xdr:to>
    <xdr:pic>
      <xdr:nvPicPr>
        <xdr:cNvPr id="6" name="Imagem 5">
          <a:hlinkClick xmlns:r="http://schemas.openxmlformats.org/officeDocument/2006/relationships" r:id="rId2"/>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78716" y="176213"/>
          <a:ext cx="1965960" cy="556683"/>
        </a:xfrm>
        <a:prstGeom prst="rect">
          <a:avLst/>
        </a:prstGeom>
      </xdr:spPr>
    </xdr:pic>
    <xdr:clientData/>
  </xdr:twoCellAnchor>
</xdr:wsDr>
</file>

<file path=xl/theme/theme1.xml><?xml version="1.0" encoding="utf-8"?>
<a:theme xmlns:a="http://schemas.openxmlformats.org/drawingml/2006/main" name="Tema do Office">
  <a:themeElements>
    <a:clrScheme name="ERSE Oficial 1-6">
      <a:dk1>
        <a:sysClr val="windowText" lastClr="000000"/>
      </a:dk1>
      <a:lt1>
        <a:sysClr val="window" lastClr="FFFFFF"/>
      </a:lt1>
      <a:dk2>
        <a:srgbClr val="44546A"/>
      </a:dk2>
      <a:lt2>
        <a:srgbClr val="E7E6E6"/>
      </a:lt2>
      <a:accent1>
        <a:srgbClr val="213B81"/>
      </a:accent1>
      <a:accent2>
        <a:srgbClr val="E9B209"/>
      </a:accent2>
      <a:accent3>
        <a:srgbClr val="BCBCBC"/>
      </a:accent3>
      <a:accent4>
        <a:srgbClr val="8E2235"/>
      </a:accent4>
      <a:accent5>
        <a:srgbClr val="7DB928"/>
      </a:accent5>
      <a:accent6>
        <a:srgbClr val="2D572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rse.pt/media/yodok3zt/ersexplica_aplica%C3%A7%C3%A3o-do-iva.pdf" TargetMode="External"/><Relationship Id="rId1" Type="http://schemas.openxmlformats.org/officeDocument/2006/relationships/hyperlink" Target="https://www.erse.pt/atividade/regulacao/tarifas-e-precos-eletricidad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rse.pt/atividade/regulacao/tarifas-e-precos-gas-natural/"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T47"/>
  <sheetViews>
    <sheetView showGridLines="0" showRowColHeaders="0" tabSelected="1" zoomScale="80" zoomScaleNormal="80" workbookViewId="0">
      <selection activeCell="B28" sqref="B28"/>
    </sheetView>
  </sheetViews>
  <sheetFormatPr defaultColWidth="0" defaultRowHeight="15" zeroHeight="1"/>
  <cols>
    <col min="1" max="1" width="3.28515625" style="105" customWidth="1"/>
    <col min="2" max="2" width="57" style="105" customWidth="1"/>
    <col min="3" max="3" width="23" style="105" customWidth="1"/>
    <col min="4" max="4" width="2.7109375" style="105" bestFit="1" customWidth="1"/>
    <col min="5" max="5" width="7" style="105" customWidth="1"/>
    <col min="6" max="6" width="19.140625" style="105" customWidth="1"/>
    <col min="7" max="7" width="9.140625" style="105" customWidth="1"/>
    <col min="8" max="8" width="14" style="105" customWidth="1"/>
    <col min="9" max="19" width="9.140625" style="105" customWidth="1"/>
    <col min="20" max="20" width="7.7109375" style="105" customWidth="1"/>
    <col min="21" max="21" width="9.140625" style="105" hidden="1" customWidth="1"/>
    <col min="22" max="16384" width="9.140625" style="105" hidden="1"/>
  </cols>
  <sheetData>
    <row r="1" spans="1:8"/>
    <row r="2" spans="1:8" ht="26.25">
      <c r="B2" s="106" t="s">
        <v>22</v>
      </c>
    </row>
    <row r="3" spans="1:8">
      <c r="B3" s="107" t="str">
        <f>'Dados Eletricidade'!A7</f>
        <v>Valores válidos a partir de 1 de abril de 2023</v>
      </c>
      <c r="D3" s="107"/>
    </row>
    <row r="4" spans="1:8" ht="26.25" customHeight="1"/>
    <row r="5" spans="1:8">
      <c r="B5" s="197" t="s">
        <v>77</v>
      </c>
      <c r="C5" s="197"/>
      <c r="D5" s="108"/>
      <c r="E5" s="108"/>
      <c r="F5" s="108"/>
      <c r="G5" s="109"/>
      <c r="H5" s="108"/>
    </row>
    <row r="6" spans="1:8">
      <c r="B6" s="109" t="s">
        <v>117</v>
      </c>
      <c r="C6" s="108"/>
      <c r="D6" s="108"/>
      <c r="E6" s="108"/>
      <c r="F6" s="108"/>
      <c r="G6" s="109"/>
      <c r="H6" s="108"/>
    </row>
    <row r="7" spans="1:8"/>
    <row r="8" spans="1:8">
      <c r="A8" s="110"/>
      <c r="B8" s="111" t="str">
        <f>'Dados Eletricidade'!A173</f>
        <v>Quantos dias foram faturados?</v>
      </c>
      <c r="C8" s="122"/>
      <c r="D8" s="112"/>
      <c r="E8" s="113" t="str">
        <f>IF($B8="","",'Dados Eletricidade'!A182)</f>
        <v>dias</v>
      </c>
      <c r="G8" s="109"/>
    </row>
    <row r="9" spans="1:8">
      <c r="A9" s="110"/>
      <c r="B9" s="114"/>
      <c r="C9" s="114"/>
      <c r="E9" s="113"/>
      <c r="G9" s="109"/>
    </row>
    <row r="10" spans="1:8">
      <c r="A10" s="110"/>
      <c r="B10" s="115" t="str">
        <f>IF(OR($B8="",$C8=""),"",'Dados Eletricidade'!A174)</f>
        <v/>
      </c>
      <c r="C10" s="122"/>
      <c r="D10" s="167" t="str">
        <f>HYPERLINK("#"&amp;ADDRESS(ROW(),COLUMN()-1),CHAR(128))</f>
        <v>€</v>
      </c>
      <c r="E10" s="113" t="str">
        <f>IF($B10="","",'Dados Eletricidade'!A183)</f>
        <v/>
      </c>
    </row>
    <row r="11" spans="1:8">
      <c r="A11" s="110"/>
      <c r="B11" s="114"/>
      <c r="C11" s="114"/>
      <c r="D11" s="116"/>
      <c r="E11" s="113"/>
    </row>
    <row r="12" spans="1:8">
      <c r="A12" s="110"/>
      <c r="B12" s="115" t="str">
        <f>IF(OR($B10="",$C10=""),"",IF(COUNTIF('Dados Eletricidade'!$A$152:$A$157,C10)=1,'Dados Eletricidade'!A175,""))</f>
        <v/>
      </c>
      <c r="C12" s="122"/>
      <c r="D12" s="167" t="str">
        <f>HYPERLINK("#"&amp;ADDRESS(ROW(),COLUMN()-1),CHAR(128))</f>
        <v>€</v>
      </c>
      <c r="E12" s="113"/>
      <c r="F12" s="112"/>
    </row>
    <row r="13" spans="1:8">
      <c r="A13" s="110"/>
      <c r="B13" s="114"/>
      <c r="C13" s="114"/>
      <c r="D13" s="116"/>
      <c r="E13" s="113"/>
    </row>
    <row r="14" spans="1:8">
      <c r="A14" s="110"/>
      <c r="B14" s="115" t="str">
        <f>IF(OR($B12="",$C12=""),"",IF(COUNTIF('Dados Eletricidade'!$A$160:$A$162,C12)=1,'Dados Eletricidade'!A176,""))</f>
        <v/>
      </c>
      <c r="C14" s="114"/>
      <c r="D14" s="116"/>
      <c r="E14" s="113"/>
    </row>
    <row r="15" spans="1:8">
      <c r="A15" s="110"/>
      <c r="B15" s="117" t="str">
        <f>IF($B$14="","",INDEX('Dados Eletricidade'!$A$189:$C$191,'Dados Eletricidade'!$E189,MATCH(Eletricidade!$C$12,'Dados Eletricidade'!$A$187:$C$187,0)))</f>
        <v/>
      </c>
      <c r="C15" s="123"/>
      <c r="D15" s="116"/>
      <c r="E15" s="113" t="str">
        <f>IF(B15="","","kWh")</f>
        <v/>
      </c>
    </row>
    <row r="16" spans="1:8">
      <c r="B16" s="117" t="str">
        <f>IF($B$14="","",INDEX('Dados Eletricidade'!$A$189:$C$191,'Dados Eletricidade'!$E190,MATCH(Eletricidade!$C$12,'Dados Eletricidade'!$A$187:$C$187,0)))</f>
        <v/>
      </c>
      <c r="C16" s="101"/>
      <c r="D16" s="116"/>
      <c r="E16" s="113" t="str">
        <f>IF(B16="","","kWh")</f>
        <v/>
      </c>
    </row>
    <row r="17" spans="2:7">
      <c r="B17" s="117" t="str">
        <f>IF($B$14="","",INDEX('Dados Eletricidade'!$A$189:$C$191,'Dados Eletricidade'!$E191,MATCH(Eletricidade!$C$12,'Dados Eletricidade'!$A$187:$C$187,0)))</f>
        <v/>
      </c>
      <c r="C17" s="102"/>
      <c r="D17" s="116"/>
      <c r="E17" s="113" t="str">
        <f>IF(B17="","","kWh")</f>
        <v/>
      </c>
      <c r="F17" s="112"/>
    </row>
    <row r="18" spans="2:7">
      <c r="B18" s="114"/>
      <c r="C18" s="114"/>
      <c r="D18" s="116"/>
      <c r="E18" s="114"/>
    </row>
    <row r="19" spans="2:7">
      <c r="B19" s="118" t="str">
        <f>IF('Dados Eletricidade'!B119&gt;0,"",'Dados Eletricidade'!A177)</f>
        <v/>
      </c>
      <c r="C19" s="122"/>
      <c r="D19" s="167" t="str">
        <f>HYPERLINK("#"&amp;ADDRESS(ROW(),COLUMN()-1),CHAR(128))</f>
        <v>€</v>
      </c>
    </row>
    <row r="20" spans="2:7">
      <c r="C20" s="119"/>
    </row>
    <row r="21" spans="2:7">
      <c r="B21" s="118" t="str">
        <f>IF(OR(C19="?",C19=""),"",'Dados Eletricidade'!A178)</f>
        <v/>
      </c>
      <c r="C21" s="122"/>
      <c r="D21" s="167" t="str">
        <f>HYPERLINK("#"&amp;ADDRESS(ROW(),COLUMN()-1),CHAR(128))</f>
        <v>€</v>
      </c>
    </row>
    <row r="22" spans="2:7"/>
    <row r="23" spans="2:7">
      <c r="B23" s="109"/>
    </row>
    <row r="24" spans="2:7"/>
    <row r="25" spans="2:7"/>
    <row r="26" spans="2:7"/>
    <row r="27" spans="2:7">
      <c r="B27" s="184" t="s">
        <v>139</v>
      </c>
      <c r="C27" s="185"/>
      <c r="D27" s="185"/>
      <c r="E27" s="185"/>
      <c r="F27" s="185"/>
      <c r="G27" s="109"/>
    </row>
    <row r="28" spans="2:7">
      <c r="B28" s="184" t="s">
        <v>138</v>
      </c>
      <c r="C28" s="185"/>
      <c r="D28" s="185"/>
      <c r="E28" s="185"/>
      <c r="F28" s="185"/>
      <c r="G28" s="109"/>
    </row>
    <row r="29" spans="2:7"/>
    <row r="30" spans="2:7"/>
    <row r="31" spans="2:7"/>
    <row r="32" spans="2:7"/>
    <row r="33" spans="2:19"/>
    <row r="34" spans="2:19" ht="8.1" customHeight="1">
      <c r="B34" s="120"/>
      <c r="C34" s="120"/>
      <c r="D34" s="120"/>
      <c r="E34" s="120"/>
      <c r="F34" s="120"/>
      <c r="G34" s="120"/>
      <c r="H34" s="120"/>
      <c r="I34" s="120"/>
      <c r="J34" s="120"/>
      <c r="K34" s="120"/>
      <c r="L34" s="120"/>
      <c r="M34" s="120"/>
      <c r="N34" s="120"/>
      <c r="O34" s="120"/>
      <c r="P34" s="120"/>
      <c r="Q34" s="120"/>
      <c r="R34" s="120"/>
      <c r="S34" s="120"/>
    </row>
    <row r="35" spans="2:19" ht="15" customHeight="1">
      <c r="B35" s="121" t="s">
        <v>80</v>
      </c>
    </row>
    <row r="36" spans="2:19">
      <c r="B36" s="107" t="s">
        <v>95</v>
      </c>
    </row>
    <row r="37" spans="2:19">
      <c r="B37" s="107" t="s">
        <v>96</v>
      </c>
    </row>
    <row r="38" spans="2:19">
      <c r="B38" s="181" t="s">
        <v>140</v>
      </c>
    </row>
    <row r="39" spans="2:19">
      <c r="B39" s="182" t="s">
        <v>98</v>
      </c>
    </row>
    <row r="40" spans="2:19">
      <c r="B40" s="182" t="s">
        <v>116</v>
      </c>
    </row>
    <row r="41" spans="2:19"/>
    <row r="42" spans="2:19"/>
    <row r="43" spans="2:19"/>
    <row r="44" spans="2:19"/>
    <row r="45" spans="2:19"/>
    <row r="46" spans="2:19"/>
    <row r="47" spans="2:19"/>
  </sheetData>
  <sheetProtection algorithmName="SHA-512" hashValue="+bjmImA6lO0uWpERj4CSWvdknbiiyFovyXl71sViX5QHBbFra51N/bh4yiz+LVln4HSbo9i4s8H/oUUc8r6ZYw==" saltValue="gnkgY5YdhahPUIB4H6N2Zg==" spinCount="100000" sheet="1" objects="1" scenarios="1" selectLockedCells="1"/>
  <mergeCells count="1">
    <mergeCell ref="B5:C5"/>
  </mergeCells>
  <conditionalFormatting sqref="C8">
    <cfRule type="expression" dxfId="27" priority="17">
      <formula>IF($B$8&lt;&gt;"",1,0)</formula>
    </cfRule>
  </conditionalFormatting>
  <conditionalFormatting sqref="C10">
    <cfRule type="expression" dxfId="26" priority="15">
      <formula>IF($B$10&lt;&gt;"",1,0)</formula>
    </cfRule>
  </conditionalFormatting>
  <conditionalFormatting sqref="C12">
    <cfRule type="expression" dxfId="25" priority="14">
      <formula>IF($B$12&lt;&gt;"",1,0)</formula>
    </cfRule>
  </conditionalFormatting>
  <conditionalFormatting sqref="D10">
    <cfRule type="expression" dxfId="24" priority="8">
      <formula>IF(B10="",1,0)</formula>
    </cfRule>
  </conditionalFormatting>
  <conditionalFormatting sqref="D12">
    <cfRule type="expression" dxfId="23" priority="7">
      <formula>IF(B12="",1,0)</formula>
    </cfRule>
  </conditionalFormatting>
  <conditionalFormatting sqref="C15">
    <cfRule type="expression" dxfId="22" priority="23">
      <formula>IF($B$15&lt;&gt;"",1,0)</formula>
    </cfRule>
  </conditionalFormatting>
  <conditionalFormatting sqref="C16">
    <cfRule type="expression" dxfId="21" priority="24">
      <formula>IF($B$16&lt;&gt;"",1,0)</formula>
    </cfRule>
  </conditionalFormatting>
  <conditionalFormatting sqref="C17">
    <cfRule type="expression" dxfId="20" priority="25">
      <formula>IF($B$17&lt;&gt;"",1,0)</formula>
    </cfRule>
  </conditionalFormatting>
  <conditionalFormatting sqref="C19">
    <cfRule type="expression" dxfId="19" priority="5">
      <formula>IF($B$19&lt;&gt;"",1,0)</formula>
    </cfRule>
  </conditionalFormatting>
  <conditionalFormatting sqref="D19">
    <cfRule type="expression" dxfId="18" priority="3">
      <formula>IF(B19="",1,0)</formula>
    </cfRule>
  </conditionalFormatting>
  <conditionalFormatting sqref="C21">
    <cfRule type="expression" dxfId="17" priority="2">
      <formula>IF($B$21&lt;&gt;"",1,0)</formula>
    </cfRule>
  </conditionalFormatting>
  <conditionalFormatting sqref="D21">
    <cfRule type="expression" dxfId="16" priority="1">
      <formula>IF(B21="",1,0)</formula>
    </cfRule>
  </conditionalFormatting>
  <dataValidations xWindow="83" yWindow="645" count="6">
    <dataValidation type="list" errorStyle="information" showErrorMessage="1" error="Clique no quadrado com a seta para abrir a lista com as opções tarifárias e selecione um dos casos." prompt="Selecione a opção horária aplicada ao seu consumo de energia._x000a_Se não tem opção bi-horária ou tri-horária, selecione «Simples»." sqref="C12" xr:uid="{00000000-0002-0000-0000-000000000000}">
      <formula1>opçao_horario</formula1>
    </dataValidation>
    <dataValidation type="list" errorStyle="information" showErrorMessage="1" error="Clique no quadrado com a seta para abrir a lista com as potências contratadas e selecione um dos valores." prompt="Selecione a sua potência contratada a partir da lista._x000a_Só podem beneficiar da tarifa social os clientes com potências contratadas inferiores ou iguais a 6,9 kVA." sqref="C10" xr:uid="{00000000-0002-0000-0000-000001000000}">
      <formula1>potencias</formula1>
    </dataValidation>
    <dataValidation type="whole" allowBlank="1" showErrorMessage="1" error="Deve introduzir apenas números, sem texto adicional._x000a_" prompt="Introduza o número de dias considerados na sua fatura (apenas dígitos, sem letras)." sqref="C8:D8" xr:uid="{00000000-0002-0000-0000-000002000000}">
      <formula1>0</formula1>
      <formula2>366</formula2>
    </dataValidation>
    <dataValidation type="whole" operator="greaterThanOrEqual" allowBlank="1" showInputMessage="1" showErrorMessage="1" error="Deve introduzir apenas números, sem texto adicional." sqref="C15:C17" xr:uid="{00000000-0002-0000-0000-000003000000}">
      <formula1>0</formula1>
    </dataValidation>
    <dataValidation type="list" errorStyle="information" showErrorMessage="1" error="Clique no quadrado com a seta para abrir a lista com as opções tarifárias e selecione um dos casos." prompt="Selecione «Sim» ou «Não»" sqref="C19" xr:uid="{00000000-0002-0000-0000-000004000000}">
      <formula1>CAV_EE</formula1>
    </dataValidation>
    <dataValidation type="list" errorStyle="information" showErrorMessage="1" error="Clique no quadrado com a seta para abrir a lista com as opções tarifárias e selecione um dos casos." prompt="Selecione «Sim» ou «Não»" sqref="C21" xr:uid="{00000000-0002-0000-0000-000005000000}">
      <formula1>territorio</formula1>
    </dataValidation>
  </dataValidations>
  <hyperlinks>
    <hyperlink ref="B27" r:id="rId1" location="tarifa-social" xr:uid="{00000000-0004-0000-0000-000000000000}"/>
    <hyperlink ref="B28" r:id="rId2" xr:uid="{00000000-0004-0000-0000-000001000000}"/>
  </hyperlinks>
  <pageMargins left="0.7" right="0.7" top="0.75" bottom="0.75" header="0.3" footer="0.3"/>
  <pageSetup paperSize="9" orientation="portrait" r:id="rId3"/>
  <ignoredErrors>
    <ignoredError sqref="D10 D12 D19 D2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W36"/>
  <sheetViews>
    <sheetView showGridLines="0" showRowColHeaders="0" topLeftCell="A2" zoomScale="90" zoomScaleNormal="90" workbookViewId="0">
      <selection activeCell="C8" sqref="C8"/>
    </sheetView>
  </sheetViews>
  <sheetFormatPr defaultColWidth="0" defaultRowHeight="15" zeroHeight="1"/>
  <cols>
    <col min="1" max="1" width="5.28515625" style="22" customWidth="1"/>
    <col min="2" max="2" width="57" style="22" customWidth="1"/>
    <col min="3" max="3" width="30.140625" style="22" customWidth="1"/>
    <col min="4" max="4" width="2.7109375" style="22" bestFit="1" customWidth="1"/>
    <col min="5" max="5" width="7" style="22" customWidth="1"/>
    <col min="6" max="6" width="8.42578125" style="22" customWidth="1"/>
    <col min="7" max="7" width="9.140625" style="22" customWidth="1"/>
    <col min="8" max="8" width="14" style="22" customWidth="1"/>
    <col min="9" max="23" width="9.140625" style="22" customWidth="1"/>
    <col min="24" max="16384" width="9.140625" style="22" hidden="1"/>
  </cols>
  <sheetData>
    <row r="1" spans="1:8"/>
    <row r="2" spans="1:8" ht="26.25">
      <c r="B2" s="157" t="s">
        <v>23</v>
      </c>
    </row>
    <row r="3" spans="1:8">
      <c r="B3" s="158" t="str">
        <f>'Dados Gás'!A7</f>
        <v>Valores válidos de 1 a partir de abril de 2023</v>
      </c>
      <c r="D3" s="158"/>
    </row>
    <row r="4" spans="1:8" ht="42.75" customHeight="1"/>
    <row r="5" spans="1:8">
      <c r="B5" s="198" t="s">
        <v>100</v>
      </c>
      <c r="C5" s="198"/>
      <c r="D5" s="32"/>
      <c r="E5" s="32"/>
      <c r="F5" s="32"/>
      <c r="H5" s="32"/>
    </row>
    <row r="6" spans="1:8">
      <c r="B6" s="159" t="s">
        <v>117</v>
      </c>
      <c r="C6" s="32"/>
      <c r="D6" s="32"/>
      <c r="E6" s="32"/>
      <c r="F6" s="32"/>
      <c r="H6" s="32"/>
    </row>
    <row r="7" spans="1:8"/>
    <row r="8" spans="1:8">
      <c r="A8" s="23"/>
      <c r="B8" s="160" t="str">
        <f>'Dados Gás'!A68</f>
        <v>Quantos dias foram faturados?</v>
      </c>
      <c r="C8" s="165"/>
      <c r="D8" s="26"/>
      <c r="E8" s="25" t="str">
        <f>IF($B8="","",'Dados Gás'!A71)</f>
        <v>dias</v>
      </c>
      <c r="G8" s="159" t="s">
        <v>85</v>
      </c>
    </row>
    <row r="9" spans="1:8">
      <c r="A9" s="23"/>
      <c r="B9" s="24"/>
      <c r="C9" s="24"/>
      <c r="E9" s="25"/>
      <c r="G9" s="159" t="s">
        <v>97</v>
      </c>
    </row>
    <row r="10" spans="1:8">
      <c r="A10" s="23"/>
      <c r="B10" s="161" t="str">
        <f>IF(OR($B8="",$C8=""),"",'Dados Gás'!A69)</f>
        <v/>
      </c>
      <c r="C10" s="166"/>
      <c r="D10" s="168" t="str">
        <f>HYPERLINK("#"&amp;ADDRESS(ROW(),COLUMN()-1),CHAR(128))</f>
        <v>€</v>
      </c>
      <c r="E10" s="25"/>
    </row>
    <row r="11" spans="1:8">
      <c r="A11" s="23"/>
      <c r="B11" s="24"/>
      <c r="C11" s="24"/>
      <c r="D11" s="162"/>
      <c r="E11" s="25"/>
    </row>
    <row r="12" spans="1:8">
      <c r="A12" s="23"/>
      <c r="B12" s="161" t="str">
        <f>IF(OR($B10="",$C10="?"),"",'Dados Gás'!A70)</f>
        <v/>
      </c>
      <c r="C12" s="165"/>
      <c r="D12" s="26"/>
      <c r="E12" s="25" t="str">
        <f>IF($B12="","",'Dados Gás'!A72)</f>
        <v/>
      </c>
      <c r="F12" s="26"/>
    </row>
    <row r="13" spans="1:8">
      <c r="A13" s="23"/>
      <c r="B13" s="24"/>
      <c r="C13" s="24"/>
      <c r="D13" s="162"/>
      <c r="E13" s="25"/>
    </row>
    <row r="14" spans="1:8"/>
    <row r="15" spans="1:8"/>
    <row r="16" spans="1:8"/>
    <row r="17" spans="2:19"/>
    <row r="18" spans="2:19"/>
    <row r="19" spans="2:19"/>
    <row r="20" spans="2:19"/>
    <row r="21" spans="2:19"/>
    <row r="22" spans="2:19"/>
    <row r="23" spans="2:19"/>
    <row r="24" spans="2:19"/>
    <row r="25" spans="2:19"/>
    <row r="26" spans="2:19"/>
    <row r="27" spans="2:19"/>
    <row r="28" spans="2:19" ht="8.1" customHeight="1">
      <c r="B28" s="163"/>
      <c r="C28" s="163"/>
      <c r="D28" s="163"/>
      <c r="E28" s="163"/>
      <c r="F28" s="163"/>
      <c r="G28" s="163"/>
      <c r="H28" s="163"/>
      <c r="I28" s="163"/>
      <c r="J28" s="163"/>
      <c r="K28" s="163"/>
      <c r="L28" s="163"/>
      <c r="M28" s="163"/>
      <c r="N28" s="163"/>
      <c r="O28" s="163"/>
      <c r="P28" s="163"/>
      <c r="Q28" s="163"/>
      <c r="R28" s="163"/>
      <c r="S28" s="163"/>
    </row>
    <row r="29" spans="2:19" ht="15" customHeight="1">
      <c r="B29" s="164" t="s">
        <v>80</v>
      </c>
    </row>
    <row r="30" spans="2:19">
      <c r="B30" s="158" t="s">
        <v>95</v>
      </c>
    </row>
    <row r="31" spans="2:19">
      <c r="B31" s="158" t="s">
        <v>113</v>
      </c>
    </row>
    <row r="32" spans="2:19">
      <c r="B32" s="184" t="s">
        <v>120</v>
      </c>
      <c r="C32" s="186"/>
    </row>
    <row r="33" spans="2:2">
      <c r="B33" s="158" t="s">
        <v>114</v>
      </c>
    </row>
    <row r="34" spans="2:2">
      <c r="B34" s="158" t="s">
        <v>115</v>
      </c>
    </row>
    <row r="35" spans="2:2"/>
    <row r="36" spans="2:2"/>
  </sheetData>
  <sheetProtection algorithmName="SHA-512" hashValue="2B5Y14TGHuOHu3Am84BjS1qDRvipVJp/f1ey2LNQzTX2WFe0thYNj56Lb9+w9fsqF3EkAyOAKZGsBuvxVE2pZA==" saltValue="xSg3TMdb4d/Q7QSuCvo8Fg==" spinCount="100000" sheet="1" objects="1" scenarios="1" selectLockedCells="1"/>
  <dataConsolidate/>
  <mergeCells count="1">
    <mergeCell ref="B5:C5"/>
  </mergeCells>
  <conditionalFormatting sqref="C8">
    <cfRule type="expression" dxfId="15" priority="8">
      <formula>IF($B$8&lt;&gt;"",1,0)</formula>
    </cfRule>
  </conditionalFormatting>
  <conditionalFormatting sqref="C12">
    <cfRule type="expression" dxfId="14" priority="6">
      <formula>IF($B$12&lt;&gt;"",1,0)</formula>
    </cfRule>
  </conditionalFormatting>
  <conditionalFormatting sqref="D10">
    <cfRule type="expression" dxfId="13" priority="5">
      <formula>IF(B10="",1,0)</formula>
    </cfRule>
  </conditionalFormatting>
  <conditionalFormatting sqref="C10">
    <cfRule type="expression" dxfId="12" priority="1">
      <formula>IF($B$10&lt;&gt;"",1,0)</formula>
    </cfRule>
  </conditionalFormatting>
  <dataValidations xWindow="76" yWindow="576" count="3">
    <dataValidation type="whole" allowBlank="1" showErrorMessage="1" error="Deve introduzir apenas números, sem texto adicional._x000a_" prompt="Introduza o número de dias considerados na sua fatura (apenas dígitos, sem letras)." sqref="C8:D8 D12" xr:uid="{00000000-0002-0000-0100-000000000000}">
      <formula1>0</formula1>
      <formula2>366</formula2>
    </dataValidation>
    <dataValidation allowBlank="1" sqref="C12" xr:uid="{00000000-0002-0000-0100-000001000000}"/>
    <dataValidation type="list" showErrorMessage="1" prompt="Selecione o seu escalão de consumo a partir da lista._x000a_Só podem beneficiar da tarifa social os clientes do Escalão 1 e do Escalão 2." sqref="C10" xr:uid="{00000000-0002-0000-0100-000002000000}">
      <formula1>escalao</formula1>
    </dataValidation>
  </dataValidations>
  <hyperlinks>
    <hyperlink ref="B32" r:id="rId1" location="tarifa-social" xr:uid="{00000000-0004-0000-0100-000000000000}"/>
  </hyperlinks>
  <pageMargins left="0.7" right="0.7" top="0.75" bottom="0.75" header="0.3" footer="0.3"/>
  <pageSetup paperSize="9" orientation="portrait" r:id="rId2"/>
  <ignoredErrors>
    <ignoredError sqref="D10"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B240"/>
  <sheetViews>
    <sheetView showGridLines="0" topLeftCell="C109" zoomScale="85" zoomScaleNormal="85" workbookViewId="0">
      <selection activeCell="N122" sqref="N122:X147"/>
    </sheetView>
  </sheetViews>
  <sheetFormatPr defaultColWidth="0" defaultRowHeight="15" zeroHeight="1"/>
  <cols>
    <col min="1" max="1" width="61" customWidth="1"/>
    <col min="2" max="2" width="31" customWidth="1"/>
    <col min="3" max="3" width="52.140625" customWidth="1"/>
    <col min="4" max="4" width="12.7109375" customWidth="1"/>
    <col min="5" max="6" width="9.140625" customWidth="1"/>
    <col min="7" max="7" width="13.140625" customWidth="1"/>
    <col min="8" max="8" width="9.140625" customWidth="1"/>
    <col min="9" max="9" width="13.85546875" customWidth="1"/>
    <col min="10" max="11" width="9.140625" customWidth="1"/>
    <col min="12" max="12" width="16.28515625" bestFit="1" customWidth="1"/>
    <col min="13" max="14" width="9.140625" customWidth="1"/>
    <col min="15" max="15" width="25.85546875" customWidth="1"/>
    <col min="16" max="16" width="47.28515625" customWidth="1"/>
    <col min="17" max="17" width="3" customWidth="1"/>
    <col min="18" max="18" width="11.42578125" customWidth="1"/>
    <col min="19" max="19" width="3.42578125" customWidth="1"/>
    <col min="20" max="20" width="10.5703125" customWidth="1"/>
    <col min="21" max="21" width="4" customWidth="1"/>
    <col min="22" max="22" width="13.42578125" bestFit="1" customWidth="1"/>
    <col min="23" max="25" width="9.140625" customWidth="1"/>
    <col min="26" max="28" width="0" hidden="1" customWidth="1"/>
    <col min="29" max="16384" width="9.140625" hidden="1"/>
  </cols>
  <sheetData>
    <row r="1" spans="1:3"/>
    <row r="2" spans="1:3" s="75" customFormat="1">
      <c r="A2" s="74" t="s">
        <v>64</v>
      </c>
    </row>
    <row r="3" spans="1:3" ht="15.75" thickBot="1">
      <c r="A3" s="21"/>
    </row>
    <row r="4" spans="1:3" ht="15.75" thickBot="1">
      <c r="A4" s="73" t="s">
        <v>65</v>
      </c>
      <c r="B4" s="183" t="s">
        <v>144</v>
      </c>
    </row>
    <row r="5" spans="1:3">
      <c r="A5" s="21"/>
    </row>
    <row r="6" spans="1:3">
      <c r="A6" s="78" t="s">
        <v>141</v>
      </c>
    </row>
    <row r="7" spans="1:3">
      <c r="A7" s="187" t="s">
        <v>159</v>
      </c>
    </row>
    <row r="8" spans="1:3">
      <c r="A8" s="21"/>
    </row>
    <row r="9" spans="1:3">
      <c r="A9" s="78" t="s">
        <v>121</v>
      </c>
      <c r="B9" s="78"/>
    </row>
    <row r="10" spans="1:3">
      <c r="A10" s="172" t="s">
        <v>122</v>
      </c>
      <c r="B10" s="173"/>
    </row>
    <row r="11" spans="1:3">
      <c r="A11" s="170" t="s">
        <v>62</v>
      </c>
      <c r="B11" s="71">
        <v>0.23</v>
      </c>
    </row>
    <row r="12" spans="1:3">
      <c r="A12" s="170" t="s">
        <v>119</v>
      </c>
      <c r="B12" s="71">
        <v>0.06</v>
      </c>
    </row>
    <row r="13" spans="1:3">
      <c r="A13" s="171" t="s">
        <v>63</v>
      </c>
      <c r="B13" s="71">
        <v>0.06</v>
      </c>
    </row>
    <row r="14" spans="1:3">
      <c r="A14" s="172" t="s">
        <v>123</v>
      </c>
      <c r="B14" s="173"/>
    </row>
    <row r="15" spans="1:3">
      <c r="A15" s="170" t="s">
        <v>62</v>
      </c>
      <c r="B15" s="71">
        <v>0.16</v>
      </c>
      <c r="C15" s="188" t="s">
        <v>142</v>
      </c>
    </row>
    <row r="16" spans="1:3">
      <c r="A16" s="170" t="s">
        <v>119</v>
      </c>
      <c r="B16" s="71">
        <v>0.04</v>
      </c>
    </row>
    <row r="17" spans="1:3">
      <c r="A17" s="171" t="s">
        <v>63</v>
      </c>
      <c r="B17" s="71">
        <v>0.04</v>
      </c>
    </row>
    <row r="18" spans="1:3">
      <c r="A18" s="172" t="s">
        <v>124</v>
      </c>
      <c r="B18" s="173"/>
    </row>
    <row r="19" spans="1:3">
      <c r="A19" s="170" t="s">
        <v>62</v>
      </c>
      <c r="B19" s="71">
        <v>0.22</v>
      </c>
    </row>
    <row r="20" spans="1:3">
      <c r="A20" s="170" t="s">
        <v>119</v>
      </c>
      <c r="B20" s="71">
        <v>0.05</v>
      </c>
    </row>
    <row r="21" spans="1:3">
      <c r="A21" s="171" t="s">
        <v>63</v>
      </c>
      <c r="B21" s="71">
        <v>0.05</v>
      </c>
    </row>
    <row r="22" spans="1:3">
      <c r="A22" s="21"/>
    </row>
    <row r="23" spans="1:3">
      <c r="A23" s="78" t="s">
        <v>61</v>
      </c>
      <c r="B23" s="78"/>
    </row>
    <row r="24" spans="1:3">
      <c r="A24" s="70" t="s">
        <v>62</v>
      </c>
      <c r="B24" s="180" t="str">
        <f>IF(Eletricidade!$C$21=$A$168,B11,IF(Eletricidade!$C$21=$A$169,B15,IF(Eletricidade!$C$21=$A$170,B19,"")))</f>
        <v/>
      </c>
    </row>
    <row r="25" spans="1:3">
      <c r="A25" s="70" t="s">
        <v>119</v>
      </c>
      <c r="B25" s="180" t="str">
        <f>IF(Eletricidade!$C$21=$A$168,B12,IF(Eletricidade!$C$21=$A$169,B16,IF(Eletricidade!$C$21=$A$170,B20,"")))</f>
        <v/>
      </c>
    </row>
    <row r="26" spans="1:3">
      <c r="A26" s="52" t="s">
        <v>63</v>
      </c>
      <c r="B26" s="180" t="str">
        <f>IF(Eletricidade!$C$21=$A$168,B13,IF(Eletricidade!$C$21=$A$169,B17,IF(Eletricidade!$C$21=$A$170,B21,"")))</f>
        <v/>
      </c>
    </row>
    <row r="27" spans="1:3">
      <c r="A27" s="70" t="s">
        <v>41</v>
      </c>
      <c r="B27" s="72">
        <v>1E-3</v>
      </c>
      <c r="C27" t="s">
        <v>29</v>
      </c>
    </row>
    <row r="28" spans="1:3">
      <c r="A28" s="70" t="s">
        <v>51</v>
      </c>
      <c r="B28" s="72">
        <v>2.85</v>
      </c>
      <c r="C28" t="s">
        <v>40</v>
      </c>
    </row>
    <row r="29" spans="1:3">
      <c r="A29" s="70" t="s">
        <v>74</v>
      </c>
      <c r="B29" s="72">
        <v>1</v>
      </c>
      <c r="C29" t="s">
        <v>40</v>
      </c>
    </row>
    <row r="30" spans="1:3"/>
    <row r="31" spans="1:3">
      <c r="A31" s="79" t="s">
        <v>14</v>
      </c>
      <c r="B31" s="80"/>
      <c r="C31" s="81"/>
    </row>
    <row r="32" spans="1:3">
      <c r="A32" s="1" t="s">
        <v>0</v>
      </c>
      <c r="B32" s="1"/>
      <c r="C32" s="2" t="s">
        <v>1</v>
      </c>
    </row>
    <row r="33" spans="1:3">
      <c r="A33" s="15"/>
      <c r="B33" s="6">
        <v>1.1499999999999999</v>
      </c>
      <c r="C33" s="53">
        <v>2.9899999999999999E-2</v>
      </c>
    </row>
    <row r="34" spans="1:3">
      <c r="A34" s="16"/>
      <c r="B34" s="6">
        <v>2.2999999999999998</v>
      </c>
      <c r="C34" s="53">
        <v>5.9900000000000002E-2</v>
      </c>
    </row>
    <row r="35" spans="1:3">
      <c r="A35" s="17" t="s">
        <v>2</v>
      </c>
      <c r="B35" s="6">
        <v>3.45</v>
      </c>
      <c r="C35" s="53">
        <v>8.9800000000000005E-2</v>
      </c>
    </row>
    <row r="36" spans="1:3">
      <c r="A36" s="17" t="s">
        <v>3</v>
      </c>
      <c r="B36" s="6">
        <v>4.5999999999999996</v>
      </c>
      <c r="C36" s="53">
        <v>0.1198</v>
      </c>
    </row>
    <row r="37" spans="1:3">
      <c r="A37" s="18"/>
      <c r="B37" s="6">
        <v>5.7</v>
      </c>
      <c r="C37" s="53">
        <v>0.1497</v>
      </c>
    </row>
    <row r="38" spans="1:3">
      <c r="A38" s="19"/>
      <c r="B38" s="6">
        <v>6.9</v>
      </c>
      <c r="C38" s="53">
        <v>0.1797</v>
      </c>
    </row>
    <row r="39" spans="1:3">
      <c r="A39" s="1" t="s">
        <v>4</v>
      </c>
      <c r="B39" s="1"/>
      <c r="C39" s="2" t="s">
        <v>5</v>
      </c>
    </row>
    <row r="40" spans="1:3">
      <c r="A40" s="3" t="s">
        <v>6</v>
      </c>
      <c r="B40" s="20"/>
      <c r="C40" s="53">
        <v>4.7600000000000003E-2</v>
      </c>
    </row>
    <row r="41" spans="1:3">
      <c r="A41" s="199" t="s">
        <v>7</v>
      </c>
      <c r="B41" s="4" t="s">
        <v>8</v>
      </c>
      <c r="C41" s="53">
        <v>4.7600000000000003E-2</v>
      </c>
    </row>
    <row r="42" spans="1:3">
      <c r="A42" s="200"/>
      <c r="B42" s="4" t="s">
        <v>9</v>
      </c>
      <c r="C42" s="53">
        <v>4.7600000000000003E-2</v>
      </c>
    </row>
    <row r="43" spans="1:3">
      <c r="B43" s="4" t="s">
        <v>11</v>
      </c>
      <c r="C43" s="53">
        <v>4.7600000000000003E-2</v>
      </c>
    </row>
    <row r="44" spans="1:3">
      <c r="A44" s="5" t="s">
        <v>10</v>
      </c>
      <c r="B44" s="4" t="s">
        <v>12</v>
      </c>
      <c r="C44" s="53">
        <v>4.7600000000000003E-2</v>
      </c>
    </row>
    <row r="45" spans="1:3">
      <c r="A45" s="7"/>
      <c r="B45" s="4" t="s">
        <v>13</v>
      </c>
      <c r="C45" s="53">
        <v>4.7600000000000003E-2</v>
      </c>
    </row>
    <row r="46" spans="1:3"/>
    <row r="47" spans="1:3"/>
    <row r="48" spans="1:3">
      <c r="A48" s="8" t="s">
        <v>131</v>
      </c>
    </row>
    <row r="49" spans="1:25">
      <c r="A49" s="82" t="s">
        <v>17</v>
      </c>
      <c r="B49" s="174">
        <v>100</v>
      </c>
      <c r="C49" t="s">
        <v>32</v>
      </c>
    </row>
    <row r="50" spans="1:25">
      <c r="A50" s="82" t="s">
        <v>128</v>
      </c>
      <c r="B50" s="174">
        <v>40</v>
      </c>
      <c r="C50" t="s">
        <v>32</v>
      </c>
    </row>
    <row r="51" spans="1:25">
      <c r="A51" s="82" t="s">
        <v>127</v>
      </c>
      <c r="B51" s="174">
        <v>60</v>
      </c>
      <c r="C51" t="s">
        <v>32</v>
      </c>
    </row>
    <row r="52" spans="1:25">
      <c r="A52" s="82" t="s">
        <v>128</v>
      </c>
      <c r="B52" s="174">
        <f>+B50</f>
        <v>40</v>
      </c>
      <c r="C52" t="s">
        <v>32</v>
      </c>
    </row>
    <row r="53" spans="1:25">
      <c r="A53" s="82" t="s">
        <v>130</v>
      </c>
      <c r="B53" s="174">
        <v>42.9</v>
      </c>
      <c r="C53" t="s">
        <v>32</v>
      </c>
    </row>
    <row r="54" spans="1:25">
      <c r="A54" s="82" t="s">
        <v>129</v>
      </c>
      <c r="B54" s="174">
        <v>17.100000000000001</v>
      </c>
      <c r="C54" t="s">
        <v>32</v>
      </c>
    </row>
    <row r="55" spans="1:25">
      <c r="A55" s="82" t="s">
        <v>145</v>
      </c>
      <c r="B55" s="52">
        <v>30</v>
      </c>
      <c r="C55" t="s">
        <v>31</v>
      </c>
    </row>
    <row r="56" spans="1:25">
      <c r="A56" s="82" t="s">
        <v>157</v>
      </c>
      <c r="B56" s="52">
        <f>ROUND(100*B61/B55,2)</f>
        <v>0</v>
      </c>
    </row>
    <row r="57" spans="1:25"/>
    <row r="58" spans="1:25">
      <c r="A58" s="74" t="s">
        <v>66</v>
      </c>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25"/>
    <row r="60" spans="1:25">
      <c r="A60" s="8" t="s">
        <v>70</v>
      </c>
    </row>
    <row r="61" spans="1:25">
      <c r="A61" s="82" t="s">
        <v>68</v>
      </c>
      <c r="B61" s="52">
        <f>+Eletricidade!C8</f>
        <v>0</v>
      </c>
      <c r="C61" t="s">
        <v>31</v>
      </c>
    </row>
    <row r="62" spans="1:25">
      <c r="A62" s="82" t="s">
        <v>72</v>
      </c>
      <c r="B62" s="52" t="str">
        <f>IF(ROUND(Eletricidade!C8/30,0)=0,"",ROUND(Eletricidade!C8/30,0))</f>
        <v/>
      </c>
      <c r="C62" t="s">
        <v>69</v>
      </c>
    </row>
    <row r="63" spans="1:25">
      <c r="A63" s="82" t="s">
        <v>73</v>
      </c>
      <c r="B63" s="52" t="str">
        <f>IF(B62="","",IF(B62=1," mês",IF(B62&gt;1," meses","")))</f>
        <v/>
      </c>
    </row>
    <row r="64" spans="1:25"/>
    <row r="65" spans="1:3">
      <c r="A65" s="8" t="s">
        <v>21</v>
      </c>
    </row>
    <row r="66" spans="1:3">
      <c r="A66" s="82" t="s">
        <v>21</v>
      </c>
      <c r="B66" s="52">
        <f>IF(Eletricidade!C10="?",0,Eletricidade!C10)</f>
        <v>0</v>
      </c>
      <c r="C66" s="83" t="s">
        <v>35</v>
      </c>
    </row>
    <row r="67" spans="1:3"/>
    <row r="68" spans="1:3">
      <c r="A68" s="8" t="s">
        <v>75</v>
      </c>
    </row>
    <row r="69" spans="1:3">
      <c r="A69" s="82" t="s">
        <v>50</v>
      </c>
      <c r="B69" s="52">
        <f>IF(AND(B66&gt;0,B66&lt;=B35),1,0)*IF(B66&gt;0,INDEX($C$33:$C$38,MATCH(Eletricidade!$C$10,potencias,0)-1),0)</f>
        <v>0</v>
      </c>
      <c r="C69" s="83" t="s">
        <v>28</v>
      </c>
    </row>
    <row r="70" spans="1:3">
      <c r="A70" s="82" t="s">
        <v>48</v>
      </c>
      <c r="B70" s="52">
        <f>IF(AND(B66&gt;0,B66&gt;B35),1,0)*IF(B66&gt;0,INDEX($C$33:$C$38,MATCH(Eletricidade!$C$10,potencias,0)-1),0)</f>
        <v>0</v>
      </c>
      <c r="C70" s="83" t="s">
        <v>28</v>
      </c>
    </row>
    <row r="71" spans="1:3"/>
    <row r="72" spans="1:3">
      <c r="A72" s="8" t="s">
        <v>152</v>
      </c>
    </row>
    <row r="73" spans="1:3">
      <c r="A73" s="82" t="s">
        <v>146</v>
      </c>
      <c r="B73" s="52" t="str">
        <f>+IF(Eletricidade!C12="Simples",Eletricidade!C15,"")</f>
        <v/>
      </c>
      <c r="C73" s="83" t="s">
        <v>32</v>
      </c>
    </row>
    <row r="74" spans="1:3">
      <c r="A74" s="82" t="s">
        <v>147</v>
      </c>
      <c r="B74" s="52" t="str">
        <f>+IF(Eletricidade!C12="Bi-horário",Eletricidade!C16,"")</f>
        <v/>
      </c>
      <c r="C74" s="83" t="s">
        <v>32</v>
      </c>
    </row>
    <row r="75" spans="1:3">
      <c r="A75" s="82" t="s">
        <v>148</v>
      </c>
      <c r="B75" s="52" t="str">
        <f>+IF(Eletricidade!C12="Bi-horário",Eletricidade!C15,"")</f>
        <v/>
      </c>
      <c r="C75" s="83" t="s">
        <v>32</v>
      </c>
    </row>
    <row r="76" spans="1:3">
      <c r="A76" s="82" t="s">
        <v>149</v>
      </c>
      <c r="B76" s="52" t="str">
        <f>+IF(Eletricidade!C12="Tri-horário",Eletricidade!C17,"")</f>
        <v/>
      </c>
      <c r="C76" s="83" t="s">
        <v>32</v>
      </c>
    </row>
    <row r="77" spans="1:3">
      <c r="A77" s="82" t="s">
        <v>150</v>
      </c>
      <c r="B77" s="52" t="str">
        <f>+IF(Eletricidade!C12="Tri-horário",Eletricidade!C16,"")</f>
        <v/>
      </c>
      <c r="C77" s="83" t="s">
        <v>32</v>
      </c>
    </row>
    <row r="78" spans="1:3">
      <c r="A78" s="82" t="s">
        <v>151</v>
      </c>
      <c r="B78" s="52" t="str">
        <f>+IF(Eletricidade!C12="Tri-horário",Eletricidade!C15,"")</f>
        <v/>
      </c>
      <c r="C78" s="83" t="s">
        <v>32</v>
      </c>
    </row>
    <row r="79" spans="1:3">
      <c r="A79" s="82" t="s">
        <v>158</v>
      </c>
      <c r="B79" s="52" t="str">
        <f>+IF(Eletricidade!C12="Simples",B73,IF(Eletricidade!C12="Bi-horário",SUM(B74:B75),IF(Eletricidade!C12="Tri-horário",SUM(B76:B78),"")))</f>
        <v/>
      </c>
      <c r="C79" s="83" t="s">
        <v>32</v>
      </c>
    </row>
    <row r="80" spans="1:3">
      <c r="A80" s="21"/>
      <c r="B80" s="21"/>
      <c r="C80" s="83"/>
    </row>
    <row r="81" spans="1:3">
      <c r="A81" s="8" t="s">
        <v>153</v>
      </c>
      <c r="B81" s="21"/>
      <c r="C81" s="83"/>
    </row>
    <row r="82" spans="1:3">
      <c r="A82" s="82" t="s">
        <v>147</v>
      </c>
      <c r="B82" s="192" t="str">
        <f>+IF(Eletricidade!C12="Bi-horário",B74/SUM(B74:B75),"")</f>
        <v/>
      </c>
      <c r="C82" s="83" t="s">
        <v>154</v>
      </c>
    </row>
    <row r="83" spans="1:3">
      <c r="A83" s="82" t="s">
        <v>148</v>
      </c>
      <c r="B83" s="192" t="str">
        <f>+IF(Eletricidade!C12="Bi-horário",B75/SUM(B74:B75),"")</f>
        <v/>
      </c>
      <c r="C83" s="83" t="s">
        <v>154</v>
      </c>
    </row>
    <row r="84" spans="1:3">
      <c r="A84" s="82" t="s">
        <v>149</v>
      </c>
      <c r="B84" s="192" t="str">
        <f>+IF(Eletricidade!C12="Tri-horário",B76/SUM(B76:B78),"")</f>
        <v/>
      </c>
      <c r="C84" s="83" t="s">
        <v>154</v>
      </c>
    </row>
    <row r="85" spans="1:3">
      <c r="A85" s="82" t="s">
        <v>150</v>
      </c>
      <c r="B85" s="192" t="str">
        <f>+IF(Eletricidade!C12="Tri-horário",B77/SUM(B76:B78),"")</f>
        <v/>
      </c>
      <c r="C85" s="83" t="s">
        <v>154</v>
      </c>
    </row>
    <row r="86" spans="1:3">
      <c r="A86" s="82" t="s">
        <v>151</v>
      </c>
      <c r="B86" s="192" t="str">
        <f>+IF(Eletricidade!C12="Tri-horário",B78/SUM(B76:B78),"")</f>
        <v/>
      </c>
      <c r="C86" s="83" t="s">
        <v>154</v>
      </c>
    </row>
    <row r="87" spans="1:3">
      <c r="A87" s="193"/>
      <c r="B87" s="193"/>
      <c r="C87" s="83"/>
    </row>
    <row r="88" spans="1:3">
      <c r="A88" s="8" t="s">
        <v>155</v>
      </c>
      <c r="B88" s="193"/>
      <c r="C88" s="83"/>
    </row>
    <row r="89" spans="1:3">
      <c r="A89" s="82" t="s">
        <v>146</v>
      </c>
      <c r="B89" s="52">
        <f>+IF(B79&gt;=B56,B56,B79)</f>
        <v>0</v>
      </c>
      <c r="C89" s="83" t="s">
        <v>32</v>
      </c>
    </row>
    <row r="90" spans="1:3">
      <c r="A90" s="82" t="s">
        <v>147</v>
      </c>
      <c r="B90" s="52" t="str">
        <f>+IFERROR(ROUND($B$89*B82,2),"")</f>
        <v/>
      </c>
      <c r="C90" s="83" t="s">
        <v>32</v>
      </c>
    </row>
    <row r="91" spans="1:3">
      <c r="A91" s="82" t="s">
        <v>148</v>
      </c>
      <c r="B91" s="52" t="str">
        <f t="shared" ref="B91:B94" si="0">+IFERROR(ROUND($B$89*B83,2),"")</f>
        <v/>
      </c>
      <c r="C91" s="83" t="s">
        <v>32</v>
      </c>
    </row>
    <row r="92" spans="1:3">
      <c r="A92" s="82" t="s">
        <v>149</v>
      </c>
      <c r="B92" s="52" t="str">
        <f t="shared" si="0"/>
        <v/>
      </c>
      <c r="C92" s="83" t="s">
        <v>32</v>
      </c>
    </row>
    <row r="93" spans="1:3">
      <c r="A93" s="82" t="s">
        <v>150</v>
      </c>
      <c r="B93" s="52" t="str">
        <f t="shared" si="0"/>
        <v/>
      </c>
      <c r="C93" s="83" t="s">
        <v>32</v>
      </c>
    </row>
    <row r="94" spans="1:3">
      <c r="A94" s="82" t="s">
        <v>151</v>
      </c>
      <c r="B94" s="52" t="str">
        <f t="shared" si="0"/>
        <v/>
      </c>
      <c r="C94" s="83" t="s">
        <v>32</v>
      </c>
    </row>
    <row r="95" spans="1:3">
      <c r="A95" s="21"/>
      <c r="B95" s="21"/>
      <c r="C95" s="83"/>
    </row>
    <row r="96" spans="1:3">
      <c r="A96" s="8" t="s">
        <v>126</v>
      </c>
    </row>
    <row r="97" spans="1:3">
      <c r="A97" s="82" t="s">
        <v>146</v>
      </c>
      <c r="B97" s="52" t="str">
        <f t="shared" ref="B97:B102" si="1">+IFERROR(ROUNDDOWN(B73-B89,2),"")</f>
        <v/>
      </c>
      <c r="C97" s="83" t="s">
        <v>32</v>
      </c>
    </row>
    <row r="98" spans="1:3">
      <c r="A98" s="82" t="s">
        <v>147</v>
      </c>
      <c r="B98" s="52" t="str">
        <f t="shared" si="1"/>
        <v/>
      </c>
      <c r="C98" s="83" t="s">
        <v>32</v>
      </c>
    </row>
    <row r="99" spans="1:3">
      <c r="A99" s="82" t="s">
        <v>148</v>
      </c>
      <c r="B99" s="52" t="str">
        <f t="shared" si="1"/>
        <v/>
      </c>
      <c r="C99" s="83" t="s">
        <v>32</v>
      </c>
    </row>
    <row r="100" spans="1:3">
      <c r="A100" s="82" t="s">
        <v>149</v>
      </c>
      <c r="B100" s="52" t="str">
        <f t="shared" si="1"/>
        <v/>
      </c>
      <c r="C100" s="83" t="s">
        <v>32</v>
      </c>
    </row>
    <row r="101" spans="1:3">
      <c r="A101" s="82" t="s">
        <v>150</v>
      </c>
      <c r="B101" s="52" t="str">
        <f t="shared" si="1"/>
        <v/>
      </c>
      <c r="C101" s="83" t="s">
        <v>32</v>
      </c>
    </row>
    <row r="102" spans="1:3">
      <c r="A102" s="82" t="s">
        <v>151</v>
      </c>
      <c r="B102" s="52" t="str">
        <f t="shared" si="1"/>
        <v/>
      </c>
      <c r="C102" s="83" t="s">
        <v>32</v>
      </c>
    </row>
    <row r="103" spans="1:3"/>
    <row r="104" spans="1:3">
      <c r="A104" s="8" t="s">
        <v>156</v>
      </c>
    </row>
    <row r="105" spans="1:3">
      <c r="A105" s="82" t="s">
        <v>146</v>
      </c>
      <c r="B105" s="196">
        <f>+IFERROR(IF(B66&lt;="6,9",IF(B79&lt;=B89,ROUND(B79,2),ROUND(B89,2)),""),"")</f>
        <v>0</v>
      </c>
      <c r="C105" s="83" t="s">
        <v>32</v>
      </c>
    </row>
    <row r="106" spans="1:3">
      <c r="A106" s="82" t="s">
        <v>147</v>
      </c>
      <c r="B106" s="52" t="str">
        <f>+IFERROR(IF($B$66&lt;="6,9",IF(B74&lt;=B90,ROUND(B74,2),ROUND(B90,2)),""),"")</f>
        <v/>
      </c>
      <c r="C106" s="83" t="s">
        <v>32</v>
      </c>
    </row>
    <row r="107" spans="1:3">
      <c r="A107" s="82" t="s">
        <v>148</v>
      </c>
      <c r="B107" s="52" t="str">
        <f>+IFERROR(IF($B$66&lt;="6,9",IF(B75&lt;=B91,ROUND(B75,2),ROUND(B91,2)),""),"")</f>
        <v/>
      </c>
      <c r="C107" s="83" t="s">
        <v>32</v>
      </c>
    </row>
    <row r="108" spans="1:3">
      <c r="A108" s="82" t="s">
        <v>149</v>
      </c>
      <c r="B108" s="52" t="str">
        <f>+IFERROR(IF($B$66&lt;="6,9",IF(B76&lt;=B92,ROUND(B76,2),ROUND(B92,2)),""),"")</f>
        <v/>
      </c>
      <c r="C108" s="83" t="s">
        <v>32</v>
      </c>
    </row>
    <row r="109" spans="1:3">
      <c r="A109" s="82" t="s">
        <v>150</v>
      </c>
      <c r="B109" s="52" t="str">
        <f>+IFERROR(IF($B$66&lt;="6,9",IF(B77&lt;=B93,ROUND(B77,2),ROUND(B93,2)),""),"")</f>
        <v/>
      </c>
      <c r="C109" s="83" t="s">
        <v>32</v>
      </c>
    </row>
    <row r="110" spans="1:3">
      <c r="A110" s="82" t="s">
        <v>151</v>
      </c>
      <c r="B110" s="52" t="str">
        <f>+IFERROR(IF($B$66&lt;="6,9",IF(B78&lt;=B94,ROUND(B78,2),ROUND(B94,2)),""),"")</f>
        <v/>
      </c>
      <c r="C110" s="83" t="s">
        <v>32</v>
      </c>
    </row>
    <row r="111" spans="1:3"/>
    <row r="112" spans="1:3">
      <c r="A112" s="8" t="s">
        <v>76</v>
      </c>
    </row>
    <row r="113" spans="1:24">
      <c r="A113" s="82" t="str">
        <f>+A100</f>
        <v>Consumo 3H Ponta</v>
      </c>
      <c r="B113" s="87" t="e">
        <f>INDEX($A$193:$C$195,E189,MATCH(Eletricidade!$C$12,$A$187:$C$187,0))</f>
        <v>#N/A</v>
      </c>
      <c r="C113" s="83" t="s">
        <v>29</v>
      </c>
    </row>
    <row r="114" spans="1:24">
      <c r="A114" s="82" t="str">
        <f>+A101</f>
        <v>Consumo 3H Cheias</v>
      </c>
      <c r="B114" s="52" t="e">
        <f>INDEX($A$193:$C$195,E190,MATCH(Eletricidade!$C$12,$A$187:$C$187,0))</f>
        <v>#N/A</v>
      </c>
      <c r="C114" s="83" t="s">
        <v>29</v>
      </c>
    </row>
    <row r="115" spans="1:24">
      <c r="A115" s="82" t="str">
        <f>+A102</f>
        <v>Consumo 3H Vazio</v>
      </c>
      <c r="B115" s="52" t="e">
        <f>INDEX($A$193:$C$195,E191,MATCH(Eletricidade!$C$12,$A$187:$C$187,0))</f>
        <v>#N/A</v>
      </c>
      <c r="C115" s="83" t="s">
        <v>29</v>
      </c>
    </row>
    <row r="116" spans="1:24">
      <c r="A116" s="21"/>
      <c r="B116" s="21"/>
      <c r="C116" s="83"/>
    </row>
    <row r="117" spans="1:24">
      <c r="A117" s="21"/>
      <c r="B117" s="21"/>
      <c r="C117" s="83"/>
    </row>
    <row r="118" spans="1:24">
      <c r="A118" s="8" t="s">
        <v>87</v>
      </c>
    </row>
    <row r="119" spans="1:24">
      <c r="A119" s="82" t="s">
        <v>91</v>
      </c>
      <c r="B119" s="103">
        <f>IF(Eletricidade!B15="",0,IF(Eletricidade!C15="",1,0))+IF(Eletricidade!B16="",0,IF(Eletricidade!C16="",1,0))+IF(Eletricidade!B17="",0,IF(Eletricidade!C17="",1,0))+IF(CONCATENATE(Eletricidade!B15,Eletricidade!B16,Eletricidade!B17)="",1,0)</f>
        <v>1</v>
      </c>
      <c r="C119" t="s">
        <v>88</v>
      </c>
    </row>
    <row r="120" spans="1:24">
      <c r="A120" s="82" t="s">
        <v>92</v>
      </c>
      <c r="B120" s="103">
        <f>IF(Eletricidade!C19="?",A166,Eletricidade!C19)</f>
        <v>0</v>
      </c>
      <c r="C120" s="83"/>
    </row>
    <row r="121" spans="1:24">
      <c r="A121" s="21"/>
      <c r="B121" s="21"/>
      <c r="C121" s="83"/>
    </row>
    <row r="122" spans="1:24" ht="15.75" thickBot="1">
      <c r="N122" s="10"/>
      <c r="O122" s="10"/>
      <c r="P122" s="10"/>
      <c r="Q122" s="10"/>
      <c r="R122" s="10"/>
      <c r="S122" s="10"/>
      <c r="T122" s="10"/>
      <c r="U122" s="10"/>
      <c r="V122" s="10"/>
      <c r="W122" s="10"/>
      <c r="X122" s="10"/>
    </row>
    <row r="123" spans="1:24" ht="16.5" thickTop="1" thickBot="1">
      <c r="B123" s="89"/>
      <c r="C123" s="90"/>
      <c r="D123" s="90"/>
      <c r="E123" s="90"/>
      <c r="F123" s="90"/>
      <c r="G123" s="90"/>
      <c r="H123" s="90"/>
      <c r="I123" s="90"/>
      <c r="J123" s="91"/>
      <c r="N123" s="10"/>
      <c r="O123" s="124"/>
      <c r="P123" s="129"/>
      <c r="Q123" s="129"/>
      <c r="R123" s="129"/>
      <c r="S123" s="129"/>
      <c r="T123" s="129"/>
      <c r="U123" s="129"/>
      <c r="V123" s="129"/>
      <c r="W123" s="130"/>
      <c r="X123" s="10"/>
    </row>
    <row r="124" spans="1:24" ht="16.5" thickBot="1">
      <c r="B124" s="92"/>
      <c r="C124" s="69" t="str">
        <f>"Rubricas sujeitas à taxa normal de IVA de 23%"</f>
        <v>Rubricas sujeitas à taxa normal de IVA de 23%</v>
      </c>
      <c r="D124" s="60"/>
      <c r="E124" s="50" t="s">
        <v>46</v>
      </c>
      <c r="F124" s="50" t="s">
        <v>33</v>
      </c>
      <c r="G124" s="50" t="s">
        <v>34</v>
      </c>
      <c r="H124" s="50" t="s">
        <v>30</v>
      </c>
      <c r="I124" s="51" t="s">
        <v>47</v>
      </c>
      <c r="J124" s="93"/>
      <c r="L124" s="8" t="s">
        <v>79</v>
      </c>
      <c r="M124" s="8"/>
      <c r="N124" s="10"/>
      <c r="O124" s="125"/>
      <c r="P124" s="69" t="str">
        <f>+C124</f>
        <v>Rubricas sujeitas à taxa normal de IVA de 23%</v>
      </c>
      <c r="Q124" s="145"/>
      <c r="R124" s="194" t="s">
        <v>46</v>
      </c>
      <c r="S124" s="194" t="s">
        <v>33</v>
      </c>
      <c r="T124" s="194" t="s">
        <v>34</v>
      </c>
      <c r="U124" s="194" t="s">
        <v>30</v>
      </c>
      <c r="V124" s="195" t="s">
        <v>47</v>
      </c>
      <c r="W124" s="131"/>
      <c r="X124" s="10"/>
    </row>
    <row r="125" spans="1:24" ht="8.1" customHeight="1" thickBot="1">
      <c r="B125" s="92"/>
      <c r="C125" s="34"/>
      <c r="D125" s="61"/>
      <c r="E125" s="35"/>
      <c r="F125" s="36"/>
      <c r="G125" s="37"/>
      <c r="H125" s="36"/>
      <c r="I125" s="38"/>
      <c r="J125" s="93"/>
      <c r="N125" s="10"/>
      <c r="O125" s="125"/>
      <c r="P125" s="149"/>
      <c r="Q125" s="146"/>
      <c r="R125" s="150"/>
      <c r="S125" s="151"/>
      <c r="T125" s="152"/>
      <c r="U125" s="151"/>
      <c r="V125" s="153"/>
      <c r="W125" s="131"/>
      <c r="X125" s="10"/>
    </row>
    <row r="126" spans="1:24">
      <c r="B126" s="94" t="s">
        <v>55</v>
      </c>
      <c r="C126" s="59" t="s">
        <v>48</v>
      </c>
      <c r="D126" s="30"/>
      <c r="E126" s="63">
        <f>ROUND(G126*I126,4)</f>
        <v>0</v>
      </c>
      <c r="F126" s="46" t="str">
        <f>$F$124</f>
        <v>=</v>
      </c>
      <c r="G126" s="54">
        <f>+Eletricidade!C8</f>
        <v>0</v>
      </c>
      <c r="H126" s="46" t="str">
        <f>$H$124</f>
        <v>x</v>
      </c>
      <c r="I126" s="55">
        <f>+B70</f>
        <v>0</v>
      </c>
      <c r="J126" s="93"/>
      <c r="L126" s="84" t="str">
        <f>IF(B66=0,"N",IF(B66&lt;=B35,"N","S"))</f>
        <v>N</v>
      </c>
      <c r="M126" s="33"/>
      <c r="N126" s="10"/>
      <c r="O126" s="126" t="str">
        <f>IF($L126="N","",B126)</f>
        <v/>
      </c>
      <c r="P126" s="59" t="str">
        <f t="shared" ref="P126:P130" si="2">IF($L126="N","",C126)</f>
        <v/>
      </c>
      <c r="Q126" s="134"/>
      <c r="R126" s="63" t="str">
        <f t="shared" ref="R126:R130" si="3">IF($L126="N","",E126)</f>
        <v/>
      </c>
      <c r="S126" s="46" t="str">
        <f t="shared" ref="S126:S130" si="4">IF($L126="N","",F126)</f>
        <v/>
      </c>
      <c r="T126" s="54" t="str">
        <f t="shared" ref="T126:T130" si="5">IF($L126="N","",G126)</f>
        <v/>
      </c>
      <c r="U126" s="46" t="str">
        <f t="shared" ref="U126:U130" si="6">IF($L126="N","",H126)</f>
        <v/>
      </c>
      <c r="V126" s="55" t="str">
        <f t="shared" ref="V126:V130" si="7">IF($L126="N","",I126)</f>
        <v/>
      </c>
      <c r="W126" s="131"/>
      <c r="X126" s="10"/>
    </row>
    <row r="127" spans="1:24">
      <c r="B127" s="94" t="s">
        <v>55</v>
      </c>
      <c r="C127" s="12" t="str">
        <f>+Eletricidade!B15</f>
        <v/>
      </c>
      <c r="D127" s="30"/>
      <c r="E127" s="64">
        <f>IFERROR(ROUND(G127*I127,4),4)</f>
        <v>4</v>
      </c>
      <c r="F127" s="33" t="str">
        <f>$F$124</f>
        <v>=</v>
      </c>
      <c r="G127" s="39" t="b">
        <f>+IF(Eletricidade!C12="Simples",'Dados Eletricidade'!B97,IF(Eletricidade!C12="Bi-horário",'Dados Eletricidade'!B99,IF(Eletricidade!C12="Tri-horário",'Dados Eletricidade'!B102)))</f>
        <v>0</v>
      </c>
      <c r="H127" s="33" t="str">
        <f>$H$124</f>
        <v>x</v>
      </c>
      <c r="I127" s="40" t="e">
        <f>+B113</f>
        <v>#N/A</v>
      </c>
      <c r="J127" s="93"/>
      <c r="L127" s="84" t="str">
        <f>IF(OR(G127=FALSE,G127=0),"N","S")</f>
        <v>N</v>
      </c>
      <c r="M127" s="33"/>
      <c r="N127" s="10"/>
      <c r="O127" s="126" t="str">
        <f t="shared" ref="O127:O130" si="8">IF($L127="N","",B127)</f>
        <v/>
      </c>
      <c r="P127" s="12" t="str">
        <f t="shared" si="2"/>
        <v/>
      </c>
      <c r="Q127" s="134"/>
      <c r="R127" s="64" t="str">
        <f t="shared" si="3"/>
        <v/>
      </c>
      <c r="S127" s="33" t="str">
        <f t="shared" si="4"/>
        <v/>
      </c>
      <c r="T127" s="39" t="str">
        <f t="shared" si="5"/>
        <v/>
      </c>
      <c r="U127" s="33" t="str">
        <f t="shared" si="6"/>
        <v/>
      </c>
      <c r="V127" s="40" t="str">
        <f t="shared" si="7"/>
        <v/>
      </c>
      <c r="W127" s="131"/>
      <c r="X127" s="10"/>
    </row>
    <row r="128" spans="1:24">
      <c r="B128" s="94" t="s">
        <v>55</v>
      </c>
      <c r="C128" s="12" t="str">
        <f>+Eletricidade!B16</f>
        <v/>
      </c>
      <c r="D128" s="30"/>
      <c r="E128" s="64">
        <f>IFERROR(ROUND(G128*I128,2),4)</f>
        <v>4</v>
      </c>
      <c r="F128" s="33" t="str">
        <f>$F$124</f>
        <v>=</v>
      </c>
      <c r="G128" s="39" t="b">
        <f>+IF(Eletricidade!C12="Bi-horário",'Dados Eletricidade'!B98,IF(Eletricidade!C12="Tri-horário",'Dados Eletricidade'!B101))</f>
        <v>0</v>
      </c>
      <c r="H128" s="33" t="str">
        <f t="shared" ref="H128:H129" si="9">$H$124</f>
        <v>x</v>
      </c>
      <c r="I128" s="40" t="e">
        <f>+B114</f>
        <v>#N/A</v>
      </c>
      <c r="J128" s="93"/>
      <c r="L128" s="84" t="str">
        <f>IF(OR(G128=FALSE,G128=0),"N","S")</f>
        <v>N</v>
      </c>
      <c r="M128" s="33"/>
      <c r="N128" s="10"/>
      <c r="O128" s="126" t="str">
        <f t="shared" si="8"/>
        <v/>
      </c>
      <c r="P128" s="12" t="str">
        <f t="shared" si="2"/>
        <v/>
      </c>
      <c r="Q128" s="134"/>
      <c r="R128" s="64" t="str">
        <f t="shared" si="3"/>
        <v/>
      </c>
      <c r="S128" s="33" t="str">
        <f t="shared" si="4"/>
        <v/>
      </c>
      <c r="T128" s="39" t="str">
        <f t="shared" si="5"/>
        <v/>
      </c>
      <c r="U128" s="33" t="str">
        <f t="shared" si="6"/>
        <v/>
      </c>
      <c r="V128" s="40" t="str">
        <f t="shared" si="7"/>
        <v/>
      </c>
      <c r="W128" s="131"/>
      <c r="X128" s="10"/>
    </row>
    <row r="129" spans="2:24">
      <c r="B129" s="94" t="s">
        <v>55</v>
      </c>
      <c r="C129" s="12" t="str">
        <f>+Eletricidade!B17</f>
        <v/>
      </c>
      <c r="D129" s="30"/>
      <c r="E129" s="64">
        <f>IFERROR(ROUND(G129*I129,2),4)</f>
        <v>4</v>
      </c>
      <c r="F129" s="33" t="str">
        <f>$F$124</f>
        <v>=</v>
      </c>
      <c r="G129" s="39" t="b">
        <f>+IF(Eletricidade!C12="Tri-horário",'Dados Eletricidade'!B100)</f>
        <v>0</v>
      </c>
      <c r="H129" s="33" t="str">
        <f t="shared" si="9"/>
        <v>x</v>
      </c>
      <c r="I129" s="40" t="e">
        <f>+B115</f>
        <v>#N/A</v>
      </c>
      <c r="J129" s="93"/>
      <c r="L129" s="84" t="str">
        <f>IF(OR(G129=FALSE,G129=0),"N","S")</f>
        <v>N</v>
      </c>
      <c r="M129" s="33"/>
      <c r="N129" s="10"/>
      <c r="O129" s="126" t="str">
        <f t="shared" si="8"/>
        <v/>
      </c>
      <c r="P129" s="12" t="str">
        <f t="shared" si="2"/>
        <v/>
      </c>
      <c r="Q129" s="134"/>
      <c r="R129" s="64" t="str">
        <f t="shared" si="3"/>
        <v/>
      </c>
      <c r="S129" s="33" t="str">
        <f t="shared" si="4"/>
        <v/>
      </c>
      <c r="T129" s="39" t="str">
        <f t="shared" si="5"/>
        <v/>
      </c>
      <c r="U129" s="33" t="str">
        <f t="shared" si="6"/>
        <v/>
      </c>
      <c r="V129" s="40" t="str">
        <f t="shared" si="7"/>
        <v/>
      </c>
      <c r="W129" s="131"/>
      <c r="X129" s="10"/>
    </row>
    <row r="130" spans="2:24" ht="15.75" thickBot="1">
      <c r="B130" s="94" t="s">
        <v>99</v>
      </c>
      <c r="C130" s="12" t="str">
        <f>+A27</f>
        <v>Imposto Especial de Consumo (IEC)</v>
      </c>
      <c r="D130" s="30"/>
      <c r="E130" s="64" t="e">
        <f>ROUND(G130*I130,4)</f>
        <v>#VALUE!</v>
      </c>
      <c r="F130" s="33" t="str">
        <f>$F$124</f>
        <v>=</v>
      </c>
      <c r="G130" s="39" t="str">
        <f>+B79</f>
        <v/>
      </c>
      <c r="H130" s="33" t="str">
        <f>$H$124</f>
        <v>x</v>
      </c>
      <c r="I130" s="41">
        <f>+B27</f>
        <v>1E-3</v>
      </c>
      <c r="J130" s="93"/>
      <c r="L130" s="84" t="str">
        <f>IF(OR(G130=FALSE,G130=0,G130=""),"N","S")</f>
        <v>N</v>
      </c>
      <c r="M130" s="33"/>
      <c r="N130" s="10"/>
      <c r="O130" s="126" t="str">
        <f t="shared" si="8"/>
        <v/>
      </c>
      <c r="P130" s="12" t="str">
        <f t="shared" si="2"/>
        <v/>
      </c>
      <c r="Q130" s="134"/>
      <c r="R130" s="64" t="str">
        <f t="shared" si="3"/>
        <v/>
      </c>
      <c r="S130" s="33" t="str">
        <f t="shared" si="4"/>
        <v/>
      </c>
      <c r="T130" s="39" t="str">
        <f t="shared" si="5"/>
        <v/>
      </c>
      <c r="U130" s="33" t="str">
        <f t="shared" si="6"/>
        <v/>
      </c>
      <c r="V130" s="41" t="str">
        <f t="shared" si="7"/>
        <v/>
      </c>
      <c r="W130" s="131"/>
      <c r="X130" s="10"/>
    </row>
    <row r="131" spans="2:24">
      <c r="B131" s="95"/>
      <c r="C131" s="57" t="s">
        <v>58</v>
      </c>
      <c r="D131" s="29"/>
      <c r="E131" s="66" t="e">
        <f>+SUM(E126:E130)</f>
        <v>#VALUE!</v>
      </c>
      <c r="F131" s="44"/>
      <c r="G131" s="45"/>
      <c r="H131" s="46"/>
      <c r="I131" s="47"/>
      <c r="J131" s="93"/>
      <c r="N131" s="10"/>
      <c r="O131" s="127"/>
      <c r="P131" s="57" t="s">
        <v>58</v>
      </c>
      <c r="Q131" s="147"/>
      <c r="R131" s="66" t="str">
        <f>+IF(SUM(R126:R130)=0,"",SUM(R126:R130))</f>
        <v/>
      </c>
      <c r="S131" s="137"/>
      <c r="T131" s="138"/>
      <c r="U131" s="139"/>
      <c r="V131" s="140"/>
      <c r="W131" s="131"/>
      <c r="X131" s="10"/>
    </row>
    <row r="132" spans="2:24" ht="15.75" thickBot="1">
      <c r="B132" s="95"/>
      <c r="C132" s="58" t="str">
        <f>"Sub-total com IVA de "&amp;TEXT(B24,"0%")</f>
        <v xml:space="preserve">Sub-total com IVA de </v>
      </c>
      <c r="D132" s="29"/>
      <c r="E132" s="67" t="e">
        <f>+ROUND(E131*(1+$B$24),2)</f>
        <v>#VALUE!</v>
      </c>
      <c r="F132" s="96" t="s">
        <v>49</v>
      </c>
      <c r="G132" s="48"/>
      <c r="H132" s="33"/>
      <c r="I132" s="49"/>
      <c r="J132" s="93"/>
      <c r="N132" s="10"/>
      <c r="O132" s="127"/>
      <c r="P132" s="58" t="str">
        <f>+C132</f>
        <v xml:space="preserve">Sub-total com IVA de </v>
      </c>
      <c r="Q132" s="147"/>
      <c r="R132" s="67" t="str">
        <f>+IFERROR(ROUND(R131*(1+$B$24),2),"")</f>
        <v/>
      </c>
      <c r="S132" s="141" t="str">
        <f>+F132</f>
        <v>[A]</v>
      </c>
      <c r="T132" s="142"/>
      <c r="U132" s="143"/>
      <c r="V132" s="144"/>
      <c r="W132" s="131"/>
      <c r="X132" s="10"/>
    </row>
    <row r="133" spans="2:24">
      <c r="B133" s="95"/>
      <c r="C133" s="21"/>
      <c r="D133" s="30"/>
      <c r="E133" s="21"/>
      <c r="F133" s="21"/>
      <c r="G133" s="21"/>
      <c r="H133" s="21"/>
      <c r="I133" s="21"/>
      <c r="J133" s="93"/>
      <c r="N133" s="10"/>
      <c r="O133" s="127"/>
      <c r="P133" s="134"/>
      <c r="Q133" s="134"/>
      <c r="R133" s="134"/>
      <c r="S133" s="134"/>
      <c r="T133" s="134"/>
      <c r="U133" s="134"/>
      <c r="V133" s="134"/>
      <c r="W133" s="131"/>
      <c r="X133" s="10"/>
    </row>
    <row r="134" spans="2:24" ht="15.75" thickBot="1">
      <c r="B134" s="95"/>
      <c r="C134" s="21"/>
      <c r="D134" s="30"/>
      <c r="E134" s="21"/>
      <c r="F134" s="21"/>
      <c r="G134" s="21"/>
      <c r="H134" s="21"/>
      <c r="I134" s="21"/>
      <c r="J134" s="93"/>
      <c r="N134" s="10"/>
      <c r="O134" s="127"/>
      <c r="P134" s="134"/>
      <c r="Q134" s="134"/>
      <c r="R134" s="134"/>
      <c r="S134" s="134"/>
      <c r="T134" s="134"/>
      <c r="U134" s="134"/>
      <c r="V134" s="134"/>
      <c r="W134" s="131"/>
      <c r="X134" s="10"/>
    </row>
    <row r="135" spans="2:24" ht="16.5" thickBot="1">
      <c r="B135" s="95"/>
      <c r="C135" s="69" t="str">
        <f>"Rubricas sujeitas à taxa reduzida de IVA de 6%"</f>
        <v>Rubricas sujeitas à taxa reduzida de IVA de 6%</v>
      </c>
      <c r="D135" s="60"/>
      <c r="E135" s="50" t="s">
        <v>46</v>
      </c>
      <c r="F135" s="50" t="s">
        <v>33</v>
      </c>
      <c r="G135" s="50" t="s">
        <v>34</v>
      </c>
      <c r="H135" s="50" t="s">
        <v>30</v>
      </c>
      <c r="I135" s="51" t="s">
        <v>47</v>
      </c>
      <c r="J135" s="93"/>
      <c r="N135" s="10"/>
      <c r="O135" s="127"/>
      <c r="P135" s="69" t="str">
        <f>+C135</f>
        <v>Rubricas sujeitas à taxa reduzida de IVA de 6%</v>
      </c>
      <c r="Q135" s="145"/>
      <c r="R135" s="194" t="s">
        <v>46</v>
      </c>
      <c r="S135" s="194" t="s">
        <v>33</v>
      </c>
      <c r="T135" s="194" t="s">
        <v>34</v>
      </c>
      <c r="U135" s="194" t="s">
        <v>30</v>
      </c>
      <c r="V135" s="195" t="s">
        <v>47</v>
      </c>
      <c r="W135" s="131"/>
      <c r="X135" s="10"/>
    </row>
    <row r="136" spans="2:24" ht="8.1" customHeight="1" thickBot="1">
      <c r="B136" s="95"/>
      <c r="C136" s="34"/>
      <c r="D136" s="61"/>
      <c r="E136" s="35"/>
      <c r="F136" s="36"/>
      <c r="G136" s="37"/>
      <c r="H136" s="36"/>
      <c r="I136" s="38"/>
      <c r="J136" s="93"/>
      <c r="N136" s="10"/>
      <c r="O136" s="127"/>
      <c r="P136" s="149"/>
      <c r="Q136" s="146"/>
      <c r="R136" s="150"/>
      <c r="S136" s="151"/>
      <c r="T136" s="152"/>
      <c r="U136" s="151"/>
      <c r="V136" s="153"/>
      <c r="W136" s="131"/>
      <c r="X136" s="10"/>
    </row>
    <row r="137" spans="2:24">
      <c r="B137" s="94" t="s">
        <v>55</v>
      </c>
      <c r="C137" s="12" t="str">
        <f>+C127</f>
        <v/>
      </c>
      <c r="D137" s="30"/>
      <c r="E137" s="64" t="e">
        <f>ROUND(G137*I137,4)</f>
        <v>#N/A</v>
      </c>
      <c r="F137" s="33" t="str">
        <f>$F$124</f>
        <v>=</v>
      </c>
      <c r="G137" s="39" t="b">
        <f>+IF(Eletricidade!C12="Simples",'Dados Eletricidade'!B89,IF(Eletricidade!C12="Bi-horário",'Dados Eletricidade'!B91,IF(Eletricidade!C12="Tri-horário",'Dados Eletricidade'!B94)))</f>
        <v>0</v>
      </c>
      <c r="H137" s="33" t="str">
        <f>$H$124</f>
        <v>x</v>
      </c>
      <c r="I137" s="40" t="e">
        <f>+I127</f>
        <v>#N/A</v>
      </c>
      <c r="J137" s="93"/>
      <c r="L137" s="84" t="str">
        <f>IF(OR(G137=FALSE,G137=0),"N","S")</f>
        <v>N</v>
      </c>
      <c r="M137" s="33"/>
      <c r="N137" s="10"/>
      <c r="O137" s="126" t="str">
        <f>IF($L137="N","",B137)</f>
        <v/>
      </c>
      <c r="P137" s="59" t="str">
        <f>IF($L137="N","",C137)</f>
        <v/>
      </c>
      <c r="Q137" s="134"/>
      <c r="R137" s="63" t="str">
        <f>IF($L137="N","",E137)</f>
        <v/>
      </c>
      <c r="S137" s="46" t="str">
        <f>IF($L137="N","",F137)</f>
        <v/>
      </c>
      <c r="T137" s="39" t="str">
        <f>IF($L137="N","",G137)</f>
        <v/>
      </c>
      <c r="U137" s="46" t="str">
        <f>IF($L137="N","",H137)</f>
        <v/>
      </c>
      <c r="V137" s="40" t="str">
        <f>IF($L137="N","",I137)</f>
        <v/>
      </c>
      <c r="W137" s="131"/>
      <c r="X137" s="10"/>
    </row>
    <row r="138" spans="2:24">
      <c r="B138" s="94" t="s">
        <v>55</v>
      </c>
      <c r="C138" s="12" t="str">
        <f>+C128</f>
        <v/>
      </c>
      <c r="D138" s="30"/>
      <c r="E138" s="64" t="e">
        <f>ROUND(G138*I138,4)</f>
        <v>#N/A</v>
      </c>
      <c r="F138" s="33" t="str">
        <f>$F$124</f>
        <v>=</v>
      </c>
      <c r="G138" s="39" t="b">
        <f>+IF(Eletricidade!C12="Bi-horário",'Dados Eletricidade'!B90,IF(Eletricidade!C12="Tri-horário",'Dados Eletricidade'!B93))</f>
        <v>0</v>
      </c>
      <c r="H138" s="33" t="str">
        <f t="shared" ref="H138:H139" si="10">$H$124</f>
        <v>x</v>
      </c>
      <c r="I138" s="40" t="e">
        <f>+I128</f>
        <v>#N/A</v>
      </c>
      <c r="J138" s="93"/>
      <c r="L138" s="84" t="str">
        <f>IF(OR(G138=FALSE,G138=0),"N","S")</f>
        <v>N</v>
      </c>
      <c r="M138" s="33"/>
      <c r="N138" s="10"/>
      <c r="O138" s="126" t="str">
        <f t="shared" ref="O138:O141" si="11">IF($L138="N","",B138)</f>
        <v/>
      </c>
      <c r="P138" s="12" t="str">
        <f t="shared" ref="P138:P141" si="12">IF($L138="N","",C138)</f>
        <v/>
      </c>
      <c r="Q138" s="134"/>
      <c r="R138" s="64" t="str">
        <f>IF($L138="N","",E138)</f>
        <v/>
      </c>
      <c r="S138" s="33" t="str">
        <f t="shared" ref="S138:S141" si="13">IF($L138="N","",F138)</f>
        <v/>
      </c>
      <c r="T138" s="39" t="str">
        <f t="shared" ref="T138:T141" si="14">IF($L138="N","",G138)</f>
        <v/>
      </c>
      <c r="U138" s="33" t="str">
        <f t="shared" ref="U138:U141" si="15">IF($L138="N","",H138)</f>
        <v/>
      </c>
      <c r="V138" s="40" t="str">
        <f t="shared" ref="V138:V141" si="16">IF($L138="N","",I138)</f>
        <v/>
      </c>
      <c r="W138" s="131"/>
      <c r="X138" s="10"/>
    </row>
    <row r="139" spans="2:24">
      <c r="B139" s="94" t="s">
        <v>55</v>
      </c>
      <c r="C139" s="12" t="str">
        <f>+C129</f>
        <v/>
      </c>
      <c r="D139" s="30"/>
      <c r="E139" s="64" t="e">
        <f>ROUND(G139*I139,4)</f>
        <v>#N/A</v>
      </c>
      <c r="F139" s="33" t="str">
        <f>$F$124</f>
        <v>=</v>
      </c>
      <c r="G139" s="39" t="b">
        <f>+IF(Eletricidade!C12="Tri-horário",'Dados Eletricidade'!B92)</f>
        <v>0</v>
      </c>
      <c r="H139" s="33" t="str">
        <f t="shared" si="10"/>
        <v>x</v>
      </c>
      <c r="I139" s="40" t="e">
        <f>+I129</f>
        <v>#N/A</v>
      </c>
      <c r="J139" s="93"/>
      <c r="L139" s="84" t="str">
        <f>IF(OR(G139=FALSE,G139=0),"N","S")</f>
        <v>N</v>
      </c>
      <c r="M139" s="33"/>
      <c r="N139" s="10"/>
      <c r="O139" s="126" t="str">
        <f t="shared" si="11"/>
        <v/>
      </c>
      <c r="P139" s="12" t="str">
        <f t="shared" si="12"/>
        <v/>
      </c>
      <c r="Q139" s="134"/>
      <c r="R139" s="64" t="str">
        <f t="shared" ref="R139:R141" si="17">IF($L139="N","",E139)</f>
        <v/>
      </c>
      <c r="S139" s="33" t="str">
        <f t="shared" si="13"/>
        <v/>
      </c>
      <c r="T139" s="39" t="str">
        <f t="shared" si="14"/>
        <v/>
      </c>
      <c r="U139" s="33" t="str">
        <f t="shared" si="15"/>
        <v/>
      </c>
      <c r="V139" s="40" t="str">
        <f t="shared" si="16"/>
        <v/>
      </c>
      <c r="W139" s="131"/>
      <c r="X139" s="10"/>
    </row>
    <row r="140" spans="2:24">
      <c r="B140" s="94" t="s">
        <v>55</v>
      </c>
      <c r="C140" s="12" t="s">
        <v>50</v>
      </c>
      <c r="D140" s="30"/>
      <c r="E140" s="64">
        <f>ROUND(G140*I140,4)</f>
        <v>0</v>
      </c>
      <c r="F140" s="33" t="str">
        <f>$F$124</f>
        <v>=</v>
      </c>
      <c r="G140" s="190">
        <f>+G126</f>
        <v>0</v>
      </c>
      <c r="H140" s="33" t="str">
        <f>$H$124</f>
        <v>x</v>
      </c>
      <c r="I140" s="191">
        <f>+B69</f>
        <v>0</v>
      </c>
      <c r="J140" s="93"/>
      <c r="L140" s="84" t="str">
        <f>IF(B66=0,"N",IF(B66&lt;=B35,"S","N"))</f>
        <v>N</v>
      </c>
      <c r="M140" s="33"/>
      <c r="N140" s="10"/>
      <c r="O140" s="126" t="str">
        <f t="shared" si="11"/>
        <v/>
      </c>
      <c r="P140" s="12" t="str">
        <f t="shared" si="12"/>
        <v/>
      </c>
      <c r="Q140" s="134"/>
      <c r="R140" s="64" t="str">
        <f t="shared" si="17"/>
        <v/>
      </c>
      <c r="S140" s="33" t="str">
        <f t="shared" si="13"/>
        <v/>
      </c>
      <c r="T140" s="190" t="str">
        <f t="shared" si="14"/>
        <v/>
      </c>
      <c r="U140" s="33" t="str">
        <f t="shared" si="15"/>
        <v/>
      </c>
      <c r="V140" s="191" t="str">
        <f t="shared" si="16"/>
        <v/>
      </c>
      <c r="W140" s="131"/>
      <c r="X140" s="10"/>
    </row>
    <row r="141" spans="2:24" ht="15.75" thickBot="1">
      <c r="B141" s="94" t="s">
        <v>99</v>
      </c>
      <c r="C141" s="13" t="str">
        <f>+A28</f>
        <v>Contribuição audiovisual</v>
      </c>
      <c r="D141" s="30"/>
      <c r="E141" s="65" t="e">
        <f>ROUND(B62*I141,4)</f>
        <v>#VALUE!</v>
      </c>
      <c r="F141" s="36" t="str">
        <f>$F$124</f>
        <v>=</v>
      </c>
      <c r="G141" s="190" t="str">
        <f>B62&amp;B63</f>
        <v/>
      </c>
      <c r="H141" s="36" t="str">
        <f>$H$124</f>
        <v>x</v>
      </c>
      <c r="I141" s="43">
        <f>B28-B29</f>
        <v>1.85</v>
      </c>
      <c r="J141" s="93"/>
      <c r="L141" s="84" t="str">
        <f>IF(OR(G141=FALSE,G141=0,G141="",B120="Não"),"N","S")</f>
        <v>N</v>
      </c>
      <c r="M141" s="33"/>
      <c r="N141" s="10"/>
      <c r="O141" s="126" t="str">
        <f t="shared" si="11"/>
        <v/>
      </c>
      <c r="P141" s="13" t="str">
        <f t="shared" si="12"/>
        <v/>
      </c>
      <c r="Q141" s="134"/>
      <c r="R141" s="65" t="str">
        <f t="shared" si="17"/>
        <v/>
      </c>
      <c r="S141" s="36" t="str">
        <f t="shared" si="13"/>
        <v/>
      </c>
      <c r="T141" s="42" t="str">
        <f t="shared" si="14"/>
        <v/>
      </c>
      <c r="U141" s="36" t="str">
        <f t="shared" si="15"/>
        <v/>
      </c>
      <c r="V141" s="43" t="str">
        <f t="shared" si="16"/>
        <v/>
      </c>
      <c r="W141" s="131"/>
      <c r="X141" s="10"/>
    </row>
    <row r="142" spans="2:24">
      <c r="B142" s="92"/>
      <c r="C142" s="57" t="s">
        <v>58</v>
      </c>
      <c r="D142" s="29"/>
      <c r="E142" s="66" t="e">
        <f>+SUM(E137:E141)</f>
        <v>#N/A</v>
      </c>
      <c r="F142" s="44"/>
      <c r="G142" s="45"/>
      <c r="H142" s="46"/>
      <c r="I142" s="47"/>
      <c r="J142" s="93"/>
      <c r="N142" s="10"/>
      <c r="O142" s="125"/>
      <c r="P142" s="57" t="s">
        <v>58</v>
      </c>
      <c r="Q142" s="147"/>
      <c r="R142" s="66" t="str">
        <f>+IF(SUM(R137:R141)=0,"",SUM(R137:R141))</f>
        <v/>
      </c>
      <c r="S142" s="137"/>
      <c r="T142" s="138"/>
      <c r="U142" s="139"/>
      <c r="V142" s="140"/>
      <c r="W142" s="131"/>
      <c r="X142" s="10"/>
    </row>
    <row r="143" spans="2:24" ht="15.75" thickBot="1">
      <c r="B143" s="92"/>
      <c r="C143" s="58" t="str">
        <f>"Sub-total com IVA de "&amp;TEXT(B26,"0%")</f>
        <v xml:space="preserve">Sub-total com IVA de </v>
      </c>
      <c r="D143" s="29"/>
      <c r="E143" s="67" t="e">
        <f>+ROUND(E142*(1+$B$26),2)</f>
        <v>#N/A</v>
      </c>
      <c r="F143" s="96" t="s">
        <v>52</v>
      </c>
      <c r="G143" s="48"/>
      <c r="H143" s="33"/>
      <c r="I143" s="49"/>
      <c r="J143" s="93"/>
      <c r="N143" s="10"/>
      <c r="O143" s="125"/>
      <c r="P143" s="58" t="str">
        <f>+C143</f>
        <v xml:space="preserve">Sub-total com IVA de </v>
      </c>
      <c r="Q143" s="147"/>
      <c r="R143" s="67" t="str">
        <f>+IFERROR(ROUND(R142*(1+$B$26),2),"")</f>
        <v/>
      </c>
      <c r="S143" s="141" t="str">
        <f>+F143</f>
        <v>[B]</v>
      </c>
      <c r="T143" s="142"/>
      <c r="U143" s="143"/>
      <c r="V143" s="144"/>
      <c r="W143" s="131"/>
      <c r="X143" s="10"/>
    </row>
    <row r="144" spans="2:24" ht="15.75" thickBot="1">
      <c r="B144" s="92"/>
      <c r="C144" s="21"/>
      <c r="D144" s="30"/>
      <c r="E144" s="28"/>
      <c r="F144" s="21"/>
      <c r="G144" s="21"/>
      <c r="H144" s="21"/>
      <c r="I144" s="21"/>
      <c r="J144" s="93"/>
      <c r="N144" s="10"/>
      <c r="O144" s="125"/>
      <c r="P144" s="134"/>
      <c r="Q144" s="134"/>
      <c r="R144" s="135"/>
      <c r="S144" s="134"/>
      <c r="T144" s="134"/>
      <c r="U144" s="134"/>
      <c r="V144" s="134"/>
      <c r="W144" s="131"/>
      <c r="X144" s="10"/>
    </row>
    <row r="145" spans="1:28" ht="16.5" thickBot="1">
      <c r="B145" s="92"/>
      <c r="C145" s="56" t="s">
        <v>118</v>
      </c>
      <c r="D145" s="62"/>
      <c r="E145" s="68" t="e">
        <f>+E132+E143</f>
        <v>#VALUE!</v>
      </c>
      <c r="F145" s="97" t="s">
        <v>53</v>
      </c>
      <c r="G145" s="21"/>
      <c r="H145" s="21"/>
      <c r="I145" s="21"/>
      <c r="J145" s="93"/>
      <c r="N145" s="10"/>
      <c r="O145" s="125"/>
      <c r="P145" s="56" t="str">
        <f>+C145</f>
        <v>Desconto da tarifa social</v>
      </c>
      <c r="Q145" s="148"/>
      <c r="R145" s="68" t="str">
        <f>+IFERROR(R132+R143,"")</f>
        <v/>
      </c>
      <c r="S145" s="136" t="str">
        <f>+F145</f>
        <v>[A] + [B]</v>
      </c>
      <c r="T145" s="134"/>
      <c r="U145" s="134"/>
      <c r="V145" s="134"/>
      <c r="W145" s="131"/>
      <c r="X145" s="10"/>
    </row>
    <row r="146" spans="1:28" ht="15.75" thickBot="1">
      <c r="B146" s="98"/>
      <c r="C146" s="99"/>
      <c r="D146" s="99"/>
      <c r="E146" s="99"/>
      <c r="F146" s="99"/>
      <c r="G146" s="99"/>
      <c r="H146" s="99"/>
      <c r="I146" s="99"/>
      <c r="J146" s="100"/>
      <c r="N146" s="10"/>
      <c r="O146" s="128"/>
      <c r="P146" s="133"/>
      <c r="Q146" s="133"/>
      <c r="R146" s="133"/>
      <c r="S146" s="133"/>
      <c r="T146" s="133"/>
      <c r="U146" s="133"/>
      <c r="V146" s="133"/>
      <c r="W146" s="132"/>
      <c r="X146" s="10"/>
    </row>
    <row r="147" spans="1:28" ht="15.75" thickTop="1">
      <c r="N147" s="10"/>
      <c r="O147" s="10"/>
      <c r="P147" s="10"/>
      <c r="Q147" s="10"/>
      <c r="R147" s="10"/>
      <c r="S147" s="10"/>
      <c r="T147" s="10"/>
      <c r="U147" s="10"/>
      <c r="V147" s="10"/>
      <c r="W147" s="10"/>
      <c r="X147" s="10"/>
    </row>
    <row r="148" spans="1:28"/>
    <row r="149" spans="1:28">
      <c r="A149" s="74" t="s">
        <v>67</v>
      </c>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row>
    <row r="150" spans="1:28" ht="15.75" thickBot="1">
      <c r="A150" s="104" t="s">
        <v>21</v>
      </c>
    </row>
    <row r="151" spans="1:28">
      <c r="A151" s="14" t="s">
        <v>54</v>
      </c>
    </row>
    <row r="152" spans="1:28">
      <c r="A152" s="12">
        <v>1.1499999999999999</v>
      </c>
    </row>
    <row r="153" spans="1:28">
      <c r="A153" s="12">
        <v>2.2999999999999998</v>
      </c>
    </row>
    <row r="154" spans="1:28">
      <c r="A154" s="12">
        <v>3.45</v>
      </c>
    </row>
    <row r="155" spans="1:28">
      <c r="A155" s="12">
        <v>4.5999999999999996</v>
      </c>
    </row>
    <row r="156" spans="1:28">
      <c r="A156" s="12">
        <v>5.7</v>
      </c>
    </row>
    <row r="157" spans="1:28" ht="15.75" thickBot="1">
      <c r="A157" s="13">
        <v>6.9</v>
      </c>
    </row>
    <row r="158" spans="1:28" ht="15.75" thickBot="1">
      <c r="A158" s="104" t="s">
        <v>94</v>
      </c>
    </row>
    <row r="159" spans="1:28">
      <c r="A159" s="11" t="s">
        <v>54</v>
      </c>
    </row>
    <row r="160" spans="1:28">
      <c r="A160" s="12" t="s">
        <v>17</v>
      </c>
    </row>
    <row r="161" spans="1:13">
      <c r="A161" s="12" t="s">
        <v>18</v>
      </c>
    </row>
    <row r="162" spans="1:13" ht="15.75" thickBot="1">
      <c r="A162" s="13" t="s">
        <v>19</v>
      </c>
    </row>
    <row r="163" spans="1:13" ht="15.75" thickBot="1">
      <c r="A163" s="104" t="s">
        <v>93</v>
      </c>
    </row>
    <row r="164" spans="1:13">
      <c r="A164" s="11" t="s">
        <v>54</v>
      </c>
    </row>
    <row r="165" spans="1:13">
      <c r="A165" s="12" t="s">
        <v>89</v>
      </c>
    </row>
    <row r="166" spans="1:13" ht="15.75" thickBot="1">
      <c r="A166" s="13" t="s">
        <v>90</v>
      </c>
    </row>
    <row r="167" spans="1:13" ht="15.75" thickBot="1">
      <c r="A167" s="104" t="s">
        <v>136</v>
      </c>
    </row>
    <row r="168" spans="1:13">
      <c r="A168" s="59" t="s">
        <v>137</v>
      </c>
    </row>
    <row r="169" spans="1:13">
      <c r="A169" s="178" t="s">
        <v>123</v>
      </c>
    </row>
    <row r="170" spans="1:13" ht="15.75" thickBot="1">
      <c r="A170" s="179" t="s">
        <v>124</v>
      </c>
    </row>
    <row r="171" spans="1:13"/>
    <row r="172" spans="1:13">
      <c r="A172" s="31" t="s">
        <v>78</v>
      </c>
    </row>
    <row r="173" spans="1:13">
      <c r="A173" t="s">
        <v>81</v>
      </c>
    </row>
    <row r="174" spans="1:13">
      <c r="A174" t="s">
        <v>16</v>
      </c>
      <c r="L174" s="9"/>
      <c r="M174" s="9"/>
    </row>
    <row r="175" spans="1:13">
      <c r="A175" t="s">
        <v>15</v>
      </c>
    </row>
    <row r="176" spans="1:13">
      <c r="A176" t="s">
        <v>82</v>
      </c>
    </row>
    <row r="177" spans="1:5">
      <c r="A177" t="s">
        <v>86</v>
      </c>
    </row>
    <row r="178" spans="1:5">
      <c r="A178" t="s">
        <v>135</v>
      </c>
    </row>
    <row r="179" spans="1:5">
      <c r="A179" s="27" t="s">
        <v>83</v>
      </c>
    </row>
    <row r="180" spans="1:5">
      <c r="A180" s="27" t="s">
        <v>84</v>
      </c>
    </row>
    <row r="181" spans="1:5">
      <c r="A181" s="27" t="s">
        <v>43</v>
      </c>
    </row>
    <row r="182" spans="1:5">
      <c r="A182" s="88" t="s">
        <v>31</v>
      </c>
    </row>
    <row r="183" spans="1:5">
      <c r="A183" s="88" t="s">
        <v>35</v>
      </c>
    </row>
    <row r="184" spans="1:5"/>
    <row r="185" spans="1:5"/>
    <row r="186" spans="1:5"/>
    <row r="187" spans="1:5">
      <c r="A187" s="85" t="s">
        <v>17</v>
      </c>
      <c r="B187" s="85" t="s">
        <v>18</v>
      </c>
      <c r="C187" s="85" t="s">
        <v>19</v>
      </c>
    </row>
    <row r="188" spans="1:5">
      <c r="A188" s="8"/>
      <c r="B188" s="8"/>
      <c r="C188" s="8"/>
    </row>
    <row r="189" spans="1:5">
      <c r="A189" s="77" t="s">
        <v>20</v>
      </c>
      <c r="B189" s="77" t="s">
        <v>20</v>
      </c>
      <c r="C189" s="52" t="s">
        <v>36</v>
      </c>
      <c r="E189" s="86">
        <v>3</v>
      </c>
    </row>
    <row r="190" spans="1:5">
      <c r="A190" s="77" t="s">
        <v>20</v>
      </c>
      <c r="B190" s="76" t="s">
        <v>39</v>
      </c>
      <c r="C190" s="52" t="s">
        <v>44</v>
      </c>
      <c r="E190" s="86">
        <v>2</v>
      </c>
    </row>
    <row r="191" spans="1:5">
      <c r="A191" s="76" t="s">
        <v>38</v>
      </c>
      <c r="B191" s="76" t="s">
        <v>37</v>
      </c>
      <c r="C191" s="52" t="s">
        <v>37</v>
      </c>
      <c r="E191" s="86">
        <v>1</v>
      </c>
    </row>
    <row r="192" spans="1:5"/>
    <row r="193" spans="1:25">
      <c r="A193" s="77">
        <v>0</v>
      </c>
      <c r="B193" s="77">
        <v>0</v>
      </c>
      <c r="C193" s="87">
        <f>ROUND(C43,4)</f>
        <v>4.7600000000000003E-2</v>
      </c>
      <c r="E193" s="86">
        <v>3</v>
      </c>
    </row>
    <row r="194" spans="1:25">
      <c r="A194" s="77">
        <v>0</v>
      </c>
      <c r="B194" s="76">
        <f>ROUND(C41,4)</f>
        <v>4.7600000000000003E-2</v>
      </c>
      <c r="C194" s="52">
        <f>ROUND(C44,4)</f>
        <v>4.7600000000000003E-2</v>
      </c>
      <c r="E194" s="86">
        <v>2</v>
      </c>
    </row>
    <row r="195" spans="1:25">
      <c r="A195" s="76">
        <f>ROUND(C40,4)</f>
        <v>4.7600000000000003E-2</v>
      </c>
      <c r="B195" s="76">
        <f>ROUND(C42,4)</f>
        <v>4.7600000000000003E-2</v>
      </c>
      <c r="C195" s="52">
        <f>ROUND(C45,4)</f>
        <v>4.7600000000000003E-2</v>
      </c>
      <c r="E195" s="86">
        <v>1</v>
      </c>
    </row>
    <row r="196" spans="1:25"/>
    <row r="197" spans="1:25">
      <c r="A197" s="77">
        <f>IFERROR(A193*Eletricidade!$C15,0)</f>
        <v>0</v>
      </c>
      <c r="B197" s="77">
        <f>IFERROR(B193*Eletricidade!$C15,0)</f>
        <v>0</v>
      </c>
      <c r="C197" s="52">
        <f>IFERROR(C193*Eletricidade!$C15,0)</f>
        <v>0</v>
      </c>
      <c r="E197" s="86">
        <v>3</v>
      </c>
    </row>
    <row r="198" spans="1:25">
      <c r="A198" s="77">
        <f>IFERROR(A194*Eletricidade!$C16,0)</f>
        <v>0</v>
      </c>
      <c r="B198" s="76">
        <f>IFERROR(B194*Eletricidade!$C16,0)</f>
        <v>0</v>
      </c>
      <c r="C198" s="52">
        <f>IFERROR(C194*Eletricidade!$C16,0)</f>
        <v>0</v>
      </c>
      <c r="E198" s="86">
        <v>2</v>
      </c>
    </row>
    <row r="199" spans="1:25">
      <c r="A199" s="76">
        <f>IFERROR(A195*Eletricidade!$C17,0)</f>
        <v>0</v>
      </c>
      <c r="B199" s="76">
        <f>IFERROR(B195*Eletricidade!$C17,0)</f>
        <v>0</v>
      </c>
      <c r="C199" s="52">
        <f>IFERROR(C195*Eletricidade!$C17,0)</f>
        <v>0</v>
      </c>
      <c r="E199" s="86">
        <v>1</v>
      </c>
    </row>
    <row r="200" spans="1:25"/>
    <row r="201" spans="1:25"/>
    <row r="202" spans="1:25">
      <c r="A202" s="74" t="s">
        <v>125</v>
      </c>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row>
    <row r="203" spans="1:25"/>
    <row r="204" spans="1:25">
      <c r="A204" s="8" t="s">
        <v>132</v>
      </c>
    </row>
    <row r="205" spans="1:25">
      <c r="A205" s="82" t="s">
        <v>17</v>
      </c>
      <c r="B205" s="70">
        <f>ROUND(B49*$B$61/30,0)</f>
        <v>0</v>
      </c>
      <c r="C205" t="s">
        <v>32</v>
      </c>
    </row>
    <row r="206" spans="1:25">
      <c r="A206" s="82" t="s">
        <v>128</v>
      </c>
      <c r="B206" s="70">
        <f>B205-B207</f>
        <v>0</v>
      </c>
      <c r="C206" t="s">
        <v>32</v>
      </c>
    </row>
    <row r="207" spans="1:25">
      <c r="A207" s="82" t="s">
        <v>127</v>
      </c>
      <c r="B207" s="70">
        <f>ROUND(B51*$B$61/30,0)</f>
        <v>0</v>
      </c>
      <c r="C207" t="s">
        <v>32</v>
      </c>
    </row>
    <row r="208" spans="1:25">
      <c r="A208" s="82" t="s">
        <v>128</v>
      </c>
      <c r="B208" s="70">
        <f>B205-SUM(B209:B210)</f>
        <v>0</v>
      </c>
      <c r="C208" t="s">
        <v>32</v>
      </c>
    </row>
    <row r="209" spans="1:5">
      <c r="A209" s="82" t="s">
        <v>130</v>
      </c>
      <c r="B209" s="70">
        <f>ROUND(B53*$B$61/30,0)</f>
        <v>0</v>
      </c>
      <c r="C209" t="s">
        <v>32</v>
      </c>
    </row>
    <row r="210" spans="1:5">
      <c r="A210" s="82" t="s">
        <v>129</v>
      </c>
      <c r="B210" s="70">
        <f>ROUND(B54*$B$61/30,0)</f>
        <v>0</v>
      </c>
      <c r="C210" t="s">
        <v>32</v>
      </c>
    </row>
    <row r="211" spans="1:5"/>
    <row r="212" spans="1:5">
      <c r="A212" s="8" t="s">
        <v>134</v>
      </c>
    </row>
    <row r="213" spans="1:5">
      <c r="A213" s="175">
        <v>0</v>
      </c>
      <c r="B213" s="175">
        <v>0</v>
      </c>
      <c r="C213" s="176">
        <f>+B210</f>
        <v>0</v>
      </c>
      <c r="E213" s="86">
        <v>3</v>
      </c>
    </row>
    <row r="214" spans="1:5">
      <c r="A214" s="175">
        <v>0</v>
      </c>
      <c r="B214" s="177">
        <f>+B207</f>
        <v>0</v>
      </c>
      <c r="C214" s="176">
        <f>+B209</f>
        <v>0</v>
      </c>
      <c r="E214" s="86">
        <v>2</v>
      </c>
    </row>
    <row r="215" spans="1:5">
      <c r="A215" s="177">
        <f>+B205</f>
        <v>0</v>
      </c>
      <c r="B215" s="177">
        <f>+B206</f>
        <v>0</v>
      </c>
      <c r="C215" s="176">
        <f>+B208</f>
        <v>0</v>
      </c>
      <c r="E215" s="86">
        <v>1</v>
      </c>
    </row>
    <row r="216" spans="1:5"/>
    <row r="217" spans="1:5"/>
    <row r="218" spans="1:5"/>
    <row r="219" spans="1:5">
      <c r="A219" s="8" t="s">
        <v>133</v>
      </c>
    </row>
    <row r="220" spans="1:5">
      <c r="A220" s="82" t="str">
        <f>+A100</f>
        <v>Consumo 3H Ponta</v>
      </c>
      <c r="B220" s="70" t="e">
        <f>INDEX($A$213:$C$215,E213,MATCH(Eletricidade!$C$12,$A$187:$C$187,0))</f>
        <v>#N/A</v>
      </c>
      <c r="C220" t="s">
        <v>32</v>
      </c>
    </row>
    <row r="221" spans="1:5">
      <c r="A221" s="82" t="str">
        <f t="shared" ref="A221:A222" si="18">+A101</f>
        <v>Consumo 3H Cheias</v>
      </c>
      <c r="B221" s="70" t="e">
        <f>INDEX($A$213:$C$215,E214,MATCH(Eletricidade!$C$12,$A$187:$C$187,0))</f>
        <v>#N/A</v>
      </c>
      <c r="C221" t="s">
        <v>32</v>
      </c>
    </row>
    <row r="222" spans="1:5">
      <c r="A222" s="82" t="str">
        <f t="shared" si="18"/>
        <v>Consumo 3H Vazio</v>
      </c>
      <c r="B222" s="70" t="e">
        <f>INDEX($A$213:$C$215,E215,MATCH(Eletricidade!$C$12,$A$187:$C$187,0))</f>
        <v>#N/A</v>
      </c>
      <c r="C222" t="s">
        <v>32</v>
      </c>
    </row>
    <row r="223" spans="1:5"/>
    <row r="224" spans="1:5"/>
    <row r="225"/>
    <row r="226"/>
    <row r="227"/>
    <row r="228"/>
    <row r="229"/>
    <row r="230"/>
    <row r="231"/>
    <row r="232"/>
    <row r="233"/>
    <row r="234"/>
    <row r="235"/>
    <row r="236"/>
    <row r="237"/>
    <row r="238"/>
    <row r="239"/>
    <row r="240"/>
  </sheetData>
  <mergeCells count="1">
    <mergeCell ref="A41:A42"/>
  </mergeCells>
  <conditionalFormatting sqref="L137:L139 L126:L129">
    <cfRule type="containsText" dxfId="11" priority="9" operator="containsText" text="S">
      <formula>NOT(ISERROR(SEARCH("S",L126)))</formula>
    </cfRule>
    <cfRule type="containsText" dxfId="10" priority="10" operator="containsText" text="N">
      <formula>NOT(ISERROR(SEARCH("N",L126)))</formula>
    </cfRule>
  </conditionalFormatting>
  <conditionalFormatting sqref="L140">
    <cfRule type="containsText" dxfId="9" priority="7" operator="containsText" text="S">
      <formula>NOT(ISERROR(SEARCH("S",L140)))</formula>
    </cfRule>
    <cfRule type="containsText" dxfId="8" priority="8" operator="containsText" text="N">
      <formula>NOT(ISERROR(SEARCH("N",L140)))</formula>
    </cfRule>
  </conditionalFormatting>
  <conditionalFormatting sqref="L141">
    <cfRule type="containsText" dxfId="7" priority="3" operator="containsText" text="S">
      <formula>NOT(ISERROR(SEARCH("S",L141)))</formula>
    </cfRule>
    <cfRule type="containsText" dxfId="6" priority="4" operator="containsText" text="N">
      <formula>NOT(ISERROR(SEARCH("N",L141)))</formula>
    </cfRule>
  </conditionalFormatting>
  <conditionalFormatting sqref="L130">
    <cfRule type="containsText" dxfId="5" priority="1" operator="containsText" text="S">
      <formula>NOT(ISERROR(SEARCH("S",L130)))</formula>
    </cfRule>
    <cfRule type="containsText" dxfId="4" priority="2" operator="containsText" text="N">
      <formula>NOT(ISERROR(SEARCH("N",L130)))</formula>
    </cfRule>
  </conditionalFormatting>
  <pageMargins left="0.7" right="0.7" top="0.75" bottom="0.75" header="0.3" footer="0.3"/>
  <pageSetup paperSize="9" orientation="portrait" r:id="rId1"/>
  <ignoredErrors>
    <ignoredError sqref="V126 R126:R130" evalError="1"/>
    <ignoredError sqref="B208 B206"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AB73"/>
  <sheetViews>
    <sheetView showGridLines="0" zoomScale="85" zoomScaleNormal="85" workbookViewId="0">
      <selection activeCell="A8" sqref="A8"/>
    </sheetView>
  </sheetViews>
  <sheetFormatPr defaultColWidth="0" defaultRowHeight="15" zeroHeight="1"/>
  <cols>
    <col min="1" max="1" width="66" customWidth="1"/>
    <col min="2" max="2" width="31" customWidth="1"/>
    <col min="3" max="3" width="59.42578125" bestFit="1" customWidth="1"/>
    <col min="4" max="4" width="12.7109375" customWidth="1"/>
    <col min="5" max="6" width="9.140625" customWidth="1"/>
    <col min="7" max="7" width="13.140625" customWidth="1"/>
    <col min="8" max="8" width="9.140625" customWidth="1"/>
    <col min="9" max="9" width="13.85546875" customWidth="1"/>
    <col min="10" max="11" width="9.140625" customWidth="1"/>
    <col min="12" max="12" width="16.28515625" bestFit="1" customWidth="1"/>
    <col min="13" max="14" width="9.140625" customWidth="1"/>
    <col min="15" max="15" width="27" bestFit="1" customWidth="1"/>
    <col min="16" max="16" width="59.42578125" bestFit="1" customWidth="1"/>
    <col min="17" max="17" width="3" customWidth="1"/>
    <col min="18" max="18" width="11.42578125" customWidth="1"/>
    <col min="19" max="19" width="9.140625" customWidth="1"/>
    <col min="20" max="20" width="11.42578125" bestFit="1" customWidth="1"/>
    <col min="21" max="21" width="9.140625" customWidth="1"/>
    <col min="22" max="22" width="13.85546875" bestFit="1" customWidth="1"/>
    <col min="23" max="23" width="3.42578125" customWidth="1"/>
    <col min="24" max="25" width="9.140625" customWidth="1"/>
    <col min="26" max="28" width="0" hidden="1" customWidth="1"/>
    <col min="29" max="16384" width="9.140625" hidden="1"/>
  </cols>
  <sheetData>
    <row r="1" spans="1:3"/>
    <row r="2" spans="1:3" s="75" customFormat="1">
      <c r="A2" s="74" t="s">
        <v>64</v>
      </c>
    </row>
    <row r="3" spans="1:3" ht="15.75" thickBot="1">
      <c r="A3" s="21"/>
    </row>
    <row r="4" spans="1:3" ht="15.75" thickBot="1">
      <c r="A4" s="73" t="s">
        <v>65</v>
      </c>
      <c r="B4" s="183" t="s">
        <v>143</v>
      </c>
    </row>
    <row r="5" spans="1:3">
      <c r="A5" s="21"/>
    </row>
    <row r="6" spans="1:3">
      <c r="A6" s="78" t="s">
        <v>141</v>
      </c>
    </row>
    <row r="7" spans="1:3">
      <c r="A7" s="187" t="s">
        <v>160</v>
      </c>
    </row>
    <row r="8" spans="1:3">
      <c r="A8" s="21"/>
    </row>
    <row r="9" spans="1:3">
      <c r="A9" s="78" t="s">
        <v>61</v>
      </c>
      <c r="B9" s="78"/>
    </row>
    <row r="10" spans="1:3">
      <c r="A10" s="70" t="s">
        <v>62</v>
      </c>
      <c r="B10" s="71">
        <v>0.23</v>
      </c>
    </row>
    <row r="11" spans="1:3">
      <c r="A11" s="52" t="s">
        <v>63</v>
      </c>
      <c r="B11" s="71">
        <v>0.06</v>
      </c>
    </row>
    <row r="12" spans="1:3">
      <c r="A12" s="70" t="s">
        <v>42</v>
      </c>
      <c r="B12" s="189">
        <v>5.9292000000000008E-3</v>
      </c>
      <c r="C12" t="s">
        <v>29</v>
      </c>
    </row>
    <row r="13" spans="1:3"/>
    <row r="14" spans="1:3">
      <c r="A14" s="79" t="s">
        <v>102</v>
      </c>
      <c r="B14" s="80"/>
      <c r="C14" s="81"/>
    </row>
    <row r="15" spans="1:3">
      <c r="A15" s="1" t="s">
        <v>101</v>
      </c>
      <c r="B15" s="1"/>
      <c r="C15" s="2" t="s">
        <v>1</v>
      </c>
    </row>
    <row r="16" spans="1:3">
      <c r="A16" s="70" t="s">
        <v>24</v>
      </c>
      <c r="B16" s="154" t="s">
        <v>104</v>
      </c>
      <c r="C16" s="53">
        <v>1.5800000000000002E-2</v>
      </c>
    </row>
    <row r="17" spans="1:25">
      <c r="A17" s="70" t="s">
        <v>25</v>
      </c>
      <c r="B17" s="154" t="s">
        <v>105</v>
      </c>
      <c r="C17" s="53">
        <v>3.9600000000000003E-2</v>
      </c>
    </row>
    <row r="18" spans="1:25">
      <c r="A18" s="1" t="s">
        <v>26</v>
      </c>
      <c r="B18" s="1"/>
      <c r="C18" s="2" t="s">
        <v>5</v>
      </c>
    </row>
    <row r="19" spans="1:25">
      <c r="A19" s="70" t="s">
        <v>24</v>
      </c>
      <c r="B19" s="154" t="s">
        <v>104</v>
      </c>
      <c r="C19" s="169">
        <v>1.9972E-2</v>
      </c>
    </row>
    <row r="20" spans="1:25">
      <c r="A20" s="70" t="s">
        <v>25</v>
      </c>
      <c r="B20" s="154" t="s">
        <v>105</v>
      </c>
      <c r="C20" s="169">
        <v>1.6396999999999998E-2</v>
      </c>
    </row>
    <row r="21" spans="1:25"/>
    <row r="22" spans="1:25"/>
    <row r="23" spans="1:25">
      <c r="A23" s="74" t="s">
        <v>66</v>
      </c>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row r="25" spans="1:25">
      <c r="A25" s="8" t="s">
        <v>70</v>
      </c>
    </row>
    <row r="26" spans="1:25">
      <c r="A26" s="82" t="s">
        <v>68</v>
      </c>
      <c r="B26" s="52" t="str">
        <f>IF('Gás Natural'!C8="","",'Gás Natural'!C8)</f>
        <v/>
      </c>
      <c r="C26" t="s">
        <v>31</v>
      </c>
    </row>
    <row r="27" spans="1:25"/>
    <row r="28" spans="1:25">
      <c r="A28" s="8" t="s">
        <v>103</v>
      </c>
    </row>
    <row r="29" spans="1:25">
      <c r="A29" s="82" t="s">
        <v>103</v>
      </c>
      <c r="B29" s="52">
        <f>IF('Gás Natural'!C10="?",0,IF('Gás Natural'!C10=A64,1,IF('Gás Natural'!C10=A64,2,0)))</f>
        <v>0</v>
      </c>
      <c r="C29" s="83"/>
    </row>
    <row r="30" spans="1:25"/>
    <row r="31" spans="1:25">
      <c r="A31" s="8" t="s">
        <v>110</v>
      </c>
    </row>
    <row r="32" spans="1:25">
      <c r="A32" s="82" t="s">
        <v>108</v>
      </c>
      <c r="B32" s="52">
        <f>IF(B29=1,C16,IF(B29=2,C17,0))</f>
        <v>0</v>
      </c>
      <c r="C32" s="83" t="s">
        <v>28</v>
      </c>
    </row>
    <row r="33" spans="1:24">
      <c r="A33" s="82" t="s">
        <v>109</v>
      </c>
      <c r="B33" s="156" t="s">
        <v>112</v>
      </c>
      <c r="C33" s="83" t="s">
        <v>28</v>
      </c>
    </row>
    <row r="34" spans="1:24"/>
    <row r="35" spans="1:24">
      <c r="A35" s="8" t="s">
        <v>71</v>
      </c>
    </row>
    <row r="36" spans="1:24">
      <c r="A36" s="82" t="s">
        <v>111</v>
      </c>
      <c r="B36" s="52" t="str">
        <f>IF('Gás Natural'!C12="","",'Gás Natural'!C12)</f>
        <v/>
      </c>
      <c r="C36" s="83" t="s">
        <v>32</v>
      </c>
    </row>
    <row r="37" spans="1:24"/>
    <row r="38" spans="1:24">
      <c r="A38" s="8" t="s">
        <v>76</v>
      </c>
    </row>
    <row r="39" spans="1:24">
      <c r="A39" s="82" t="str">
        <f>+A36</f>
        <v>Consumo de energia</v>
      </c>
      <c r="B39" s="87">
        <f>IF(B29=1,C19,IF(B29=2,C20,0))</f>
        <v>0</v>
      </c>
      <c r="C39" s="83" t="s">
        <v>29</v>
      </c>
    </row>
    <row r="40" spans="1:24">
      <c r="A40" s="21"/>
      <c r="B40" s="21"/>
      <c r="C40" s="83"/>
    </row>
    <row r="41" spans="1:24">
      <c r="A41" s="21"/>
      <c r="B41" s="21"/>
      <c r="C41" s="83"/>
    </row>
    <row r="42" spans="1:24" ht="15.75" thickBot="1">
      <c r="N42" s="10"/>
      <c r="O42" s="10"/>
      <c r="P42" s="10"/>
      <c r="Q42" s="10"/>
      <c r="R42" s="10"/>
      <c r="S42" s="10"/>
      <c r="T42" s="10"/>
      <c r="U42" s="10"/>
      <c r="V42" s="10"/>
      <c r="W42" s="10"/>
      <c r="X42" s="10"/>
    </row>
    <row r="43" spans="1:24" ht="16.5" thickTop="1" thickBot="1">
      <c r="B43" s="89"/>
      <c r="C43" s="90"/>
      <c r="D43" s="90"/>
      <c r="E43" s="90"/>
      <c r="F43" s="90"/>
      <c r="G43" s="90"/>
      <c r="H43" s="90"/>
      <c r="I43" s="90"/>
      <c r="J43" s="91"/>
      <c r="N43" s="10"/>
      <c r="O43" s="124"/>
      <c r="P43" s="129"/>
      <c r="Q43" s="129"/>
      <c r="R43" s="129"/>
      <c r="S43" s="129"/>
      <c r="T43" s="129"/>
      <c r="U43" s="129"/>
      <c r="V43" s="129"/>
      <c r="W43" s="130"/>
      <c r="X43" s="10"/>
    </row>
    <row r="44" spans="1:24" ht="16.5" thickBot="1">
      <c r="B44" s="92"/>
      <c r="C44" s="69" t="s">
        <v>56</v>
      </c>
      <c r="D44" s="60"/>
      <c r="E44" s="50" t="s">
        <v>46</v>
      </c>
      <c r="F44" s="50" t="s">
        <v>33</v>
      </c>
      <c r="G44" s="50" t="s">
        <v>34</v>
      </c>
      <c r="H44" s="50" t="s">
        <v>30</v>
      </c>
      <c r="I44" s="51" t="s">
        <v>47</v>
      </c>
      <c r="J44" s="93"/>
      <c r="L44" s="8" t="s">
        <v>79</v>
      </c>
      <c r="M44" s="8"/>
      <c r="N44" s="10"/>
      <c r="O44" s="125"/>
      <c r="P44" s="69" t="s">
        <v>56</v>
      </c>
      <c r="Q44" s="145"/>
      <c r="R44" s="50" t="s">
        <v>46</v>
      </c>
      <c r="S44" s="50" t="s">
        <v>33</v>
      </c>
      <c r="T44" s="50" t="s">
        <v>34</v>
      </c>
      <c r="U44" s="50" t="s">
        <v>30</v>
      </c>
      <c r="V44" s="51" t="s">
        <v>47</v>
      </c>
      <c r="W44" s="131"/>
      <c r="X44" s="10"/>
    </row>
    <row r="45" spans="1:24" ht="8.1" customHeight="1" thickBot="1">
      <c r="B45" s="92"/>
      <c r="C45" s="34"/>
      <c r="D45" s="61"/>
      <c r="E45" s="35"/>
      <c r="F45" s="36"/>
      <c r="G45" s="37"/>
      <c r="H45" s="36"/>
      <c r="I45" s="38"/>
      <c r="J45" s="93"/>
      <c r="N45" s="10"/>
      <c r="O45" s="125"/>
      <c r="P45" s="149"/>
      <c r="Q45" s="146"/>
      <c r="R45" s="150"/>
      <c r="S45" s="151"/>
      <c r="T45" s="152"/>
      <c r="U45" s="151"/>
      <c r="V45" s="153"/>
      <c r="W45" s="131"/>
      <c r="X45" s="10"/>
    </row>
    <row r="46" spans="1:24">
      <c r="B46" s="94" t="s">
        <v>55</v>
      </c>
      <c r="C46" s="12" t="str">
        <f>+A36</f>
        <v>Consumo de energia</v>
      </c>
      <c r="D46" s="30"/>
      <c r="E46" s="64">
        <f>ROUND(G46*I46,2)</f>
        <v>0</v>
      </c>
      <c r="F46" s="33" t="str">
        <f>$F$44</f>
        <v>=</v>
      </c>
      <c r="G46" s="39">
        <f>IF(B36="",0,B36)</f>
        <v>0</v>
      </c>
      <c r="H46" s="33" t="str">
        <f>$H$44</f>
        <v>x</v>
      </c>
      <c r="I46" s="40">
        <f>+B39</f>
        <v>0</v>
      </c>
      <c r="J46" s="93"/>
      <c r="L46" s="84" t="str">
        <f>IF(B36="","N","S")</f>
        <v>N</v>
      </c>
      <c r="M46" s="33"/>
      <c r="N46" s="10"/>
      <c r="O46" s="126" t="str">
        <f t="shared" ref="O46:O47" si="0">IF($L46="N","",B46)</f>
        <v/>
      </c>
      <c r="P46" s="12" t="str">
        <f t="shared" ref="P46:P47" si="1">IF($L46="N","",C46)</f>
        <v/>
      </c>
      <c r="Q46" s="134"/>
      <c r="R46" s="64" t="str">
        <f t="shared" ref="R46:V47" si="2">IF($L46="N","",E46)</f>
        <v/>
      </c>
      <c r="S46" s="33" t="str">
        <f t="shared" si="2"/>
        <v/>
      </c>
      <c r="T46" s="39" t="str">
        <f t="shared" si="2"/>
        <v/>
      </c>
      <c r="U46" s="33" t="str">
        <f t="shared" si="2"/>
        <v/>
      </c>
      <c r="V46" s="40" t="str">
        <f t="shared" si="2"/>
        <v/>
      </c>
      <c r="W46" s="131"/>
      <c r="X46" s="10"/>
    </row>
    <row r="47" spans="1:24" ht="15.75" thickBot="1">
      <c r="B47" s="94" t="s">
        <v>99</v>
      </c>
      <c r="C47" s="12" t="str">
        <f>+A12</f>
        <v>Imposto sobre os Produtos Petrolíferos e Energéticos (ISP)</v>
      </c>
      <c r="D47" s="30"/>
      <c r="E47" s="64">
        <f>ROUND(G47*I47,2)</f>
        <v>0</v>
      </c>
      <c r="F47" s="33" t="str">
        <f>$F$44</f>
        <v>=</v>
      </c>
      <c r="G47" s="39">
        <f>+G46</f>
        <v>0</v>
      </c>
      <c r="H47" s="33" t="str">
        <f>$H$44</f>
        <v>x</v>
      </c>
      <c r="I47" s="40">
        <f>+B12</f>
        <v>5.9292000000000008E-3</v>
      </c>
      <c r="J47" s="93"/>
      <c r="L47" s="84" t="str">
        <f>IF(B36="","N","S")</f>
        <v>N</v>
      </c>
      <c r="M47" s="33"/>
      <c r="N47" s="10"/>
      <c r="O47" s="126" t="str">
        <f t="shared" si="0"/>
        <v/>
      </c>
      <c r="P47" s="12" t="str">
        <f t="shared" si="1"/>
        <v/>
      </c>
      <c r="Q47" s="134"/>
      <c r="R47" s="64" t="str">
        <f t="shared" si="2"/>
        <v/>
      </c>
      <c r="S47" s="33" t="str">
        <f t="shared" si="2"/>
        <v/>
      </c>
      <c r="T47" s="39" t="str">
        <f t="shared" si="2"/>
        <v/>
      </c>
      <c r="U47" s="33" t="str">
        <f t="shared" si="2"/>
        <v/>
      </c>
      <c r="V47" s="41" t="str">
        <f t="shared" si="2"/>
        <v/>
      </c>
      <c r="W47" s="131"/>
      <c r="X47" s="10"/>
    </row>
    <row r="48" spans="1:24">
      <c r="B48" s="95"/>
      <c r="C48" s="57" t="s">
        <v>58</v>
      </c>
      <c r="D48" s="29"/>
      <c r="E48" s="66">
        <f>+SUM(E46:E47)</f>
        <v>0</v>
      </c>
      <c r="F48" s="44"/>
      <c r="G48" s="45"/>
      <c r="H48" s="46"/>
      <c r="I48" s="47"/>
      <c r="J48" s="93"/>
      <c r="N48" s="10"/>
      <c r="O48" s="127"/>
      <c r="P48" s="57" t="s">
        <v>58</v>
      </c>
      <c r="Q48" s="147"/>
      <c r="R48" s="66">
        <f>+SUM(R46:R47)</f>
        <v>0</v>
      </c>
      <c r="S48" s="137"/>
      <c r="T48" s="138"/>
      <c r="U48" s="139"/>
      <c r="V48" s="140"/>
      <c r="W48" s="131"/>
      <c r="X48" s="10"/>
    </row>
    <row r="49" spans="1:28" ht="15.75" thickBot="1">
      <c r="B49" s="95"/>
      <c r="C49" s="58" t="s">
        <v>59</v>
      </c>
      <c r="D49" s="29"/>
      <c r="E49" s="67">
        <f>+ROUND(E48*(1+$B$10),2)</f>
        <v>0</v>
      </c>
      <c r="F49" s="96" t="s">
        <v>49</v>
      </c>
      <c r="G49" s="48"/>
      <c r="H49" s="33"/>
      <c r="I49" s="49"/>
      <c r="J49" s="93"/>
      <c r="N49" s="10"/>
      <c r="O49" s="127"/>
      <c r="P49" s="58" t="s">
        <v>59</v>
      </c>
      <c r="Q49" s="147"/>
      <c r="R49" s="67">
        <f>+ROUND(R48*(1+$B$10),2)</f>
        <v>0</v>
      </c>
      <c r="S49" s="141" t="s">
        <v>49</v>
      </c>
      <c r="T49" s="142"/>
      <c r="U49" s="143"/>
      <c r="V49" s="144"/>
      <c r="W49" s="131"/>
      <c r="X49" s="10"/>
    </row>
    <row r="50" spans="1:28" ht="15.75" thickBot="1">
      <c r="B50" s="95"/>
      <c r="C50" s="21"/>
      <c r="D50" s="30"/>
      <c r="E50" s="21"/>
      <c r="F50" s="21"/>
      <c r="G50" s="21"/>
      <c r="H50" s="21"/>
      <c r="I50" s="21"/>
      <c r="J50" s="93"/>
      <c r="N50" s="10"/>
      <c r="O50" s="127"/>
      <c r="P50" s="134"/>
      <c r="Q50" s="134"/>
      <c r="R50" s="134"/>
      <c r="S50" s="134"/>
      <c r="T50" s="134"/>
      <c r="U50" s="134"/>
      <c r="V50" s="134"/>
      <c r="W50" s="131"/>
      <c r="X50" s="10"/>
    </row>
    <row r="51" spans="1:28" ht="16.5" thickBot="1">
      <c r="B51" s="95"/>
      <c r="C51" s="69" t="s">
        <v>57</v>
      </c>
      <c r="D51" s="60"/>
      <c r="E51" s="50" t="s">
        <v>46</v>
      </c>
      <c r="F51" s="50" t="s">
        <v>33</v>
      </c>
      <c r="G51" s="50" t="s">
        <v>34</v>
      </c>
      <c r="H51" s="50" t="s">
        <v>30</v>
      </c>
      <c r="I51" s="51" t="s">
        <v>47</v>
      </c>
      <c r="J51" s="93"/>
      <c r="N51" s="10"/>
      <c r="O51" s="127"/>
      <c r="P51" s="69" t="s">
        <v>57</v>
      </c>
      <c r="Q51" s="145"/>
      <c r="R51" s="50" t="s">
        <v>46</v>
      </c>
      <c r="S51" s="50" t="s">
        <v>33</v>
      </c>
      <c r="T51" s="50" t="s">
        <v>34</v>
      </c>
      <c r="U51" s="50" t="s">
        <v>30</v>
      </c>
      <c r="V51" s="51" t="s">
        <v>47</v>
      </c>
      <c r="W51" s="131"/>
      <c r="X51" s="10"/>
    </row>
    <row r="52" spans="1:28" ht="8.1" customHeight="1" thickBot="1">
      <c r="B52" s="95"/>
      <c r="C52" s="34"/>
      <c r="D52" s="61"/>
      <c r="E52" s="35"/>
      <c r="F52" s="36"/>
      <c r="G52" s="37"/>
      <c r="H52" s="36"/>
      <c r="I52" s="38"/>
      <c r="J52" s="93"/>
      <c r="N52" s="10"/>
      <c r="O52" s="127"/>
      <c r="P52" s="149"/>
      <c r="Q52" s="146"/>
      <c r="R52" s="150"/>
      <c r="S52" s="151"/>
      <c r="T52" s="152"/>
      <c r="U52" s="151"/>
      <c r="V52" s="153"/>
      <c r="W52" s="131"/>
      <c r="X52" s="10"/>
    </row>
    <row r="53" spans="1:28" ht="15.75" thickBot="1">
      <c r="B53" s="94" t="s">
        <v>55</v>
      </c>
      <c r="C53" s="59" t="s">
        <v>50</v>
      </c>
      <c r="D53" s="30"/>
      <c r="E53" s="63">
        <f>ROUND(G53*I53,2)</f>
        <v>0</v>
      </c>
      <c r="F53" s="46" t="str">
        <f>$F$44</f>
        <v>=</v>
      </c>
      <c r="G53" s="54">
        <f>IF(B26="",0,B26)</f>
        <v>0</v>
      </c>
      <c r="H53" s="46" t="str">
        <f>$H$44</f>
        <v>x</v>
      </c>
      <c r="I53" s="55">
        <f>+B32</f>
        <v>0</v>
      </c>
      <c r="J53" s="93"/>
      <c r="L53" s="84" t="str">
        <f>IF(OR(B26="",B29=0),"N","S")</f>
        <v>N</v>
      </c>
      <c r="M53" s="33"/>
      <c r="N53" s="10"/>
      <c r="O53" s="126" t="str">
        <f t="shared" ref="O53:P53" si="3">IF($L53="N","",B53)</f>
        <v/>
      </c>
      <c r="P53" s="59" t="str">
        <f t="shared" si="3"/>
        <v/>
      </c>
      <c r="Q53" s="134"/>
      <c r="R53" s="63" t="str">
        <f t="shared" ref="R53:V53" si="4">IF($L53="N","",E53)</f>
        <v/>
      </c>
      <c r="S53" s="46" t="str">
        <f t="shared" si="4"/>
        <v/>
      </c>
      <c r="T53" s="54" t="str">
        <f t="shared" si="4"/>
        <v/>
      </c>
      <c r="U53" s="46" t="str">
        <f t="shared" si="4"/>
        <v/>
      </c>
      <c r="V53" s="55" t="str">
        <f t="shared" si="4"/>
        <v/>
      </c>
      <c r="W53" s="131"/>
      <c r="X53" s="10"/>
    </row>
    <row r="54" spans="1:28">
      <c r="B54" s="92"/>
      <c r="C54" s="57" t="s">
        <v>58</v>
      </c>
      <c r="D54" s="29"/>
      <c r="E54" s="66">
        <f>+SUM(E53:E53)</f>
        <v>0</v>
      </c>
      <c r="F54" s="44"/>
      <c r="G54" s="45"/>
      <c r="H54" s="46"/>
      <c r="I54" s="47"/>
      <c r="J54" s="93"/>
      <c r="N54" s="10"/>
      <c r="O54" s="125"/>
      <c r="P54" s="57" t="s">
        <v>58</v>
      </c>
      <c r="Q54" s="147"/>
      <c r="R54" s="66">
        <f>+SUM(R53:R53)</f>
        <v>0</v>
      </c>
      <c r="S54" s="137"/>
      <c r="T54" s="138"/>
      <c r="U54" s="139"/>
      <c r="V54" s="140"/>
      <c r="W54" s="131"/>
      <c r="X54" s="10"/>
    </row>
    <row r="55" spans="1:28" ht="15.75" thickBot="1">
      <c r="B55" s="92"/>
      <c r="C55" s="58" t="s">
        <v>60</v>
      </c>
      <c r="D55" s="29"/>
      <c r="E55" s="67">
        <f>+ROUND(E54*(1+$B$11),2)</f>
        <v>0</v>
      </c>
      <c r="F55" s="96" t="s">
        <v>52</v>
      </c>
      <c r="G55" s="48"/>
      <c r="H55" s="33"/>
      <c r="I55" s="49"/>
      <c r="J55" s="93"/>
      <c r="N55" s="10"/>
      <c r="O55" s="125"/>
      <c r="P55" s="58" t="s">
        <v>60</v>
      </c>
      <c r="Q55" s="147"/>
      <c r="R55" s="67">
        <f>+ROUND(R54*(1+$B$11),2)</f>
        <v>0</v>
      </c>
      <c r="S55" s="141" t="s">
        <v>52</v>
      </c>
      <c r="T55" s="142"/>
      <c r="U55" s="143"/>
      <c r="V55" s="144"/>
      <c r="W55" s="131"/>
      <c r="X55" s="10"/>
    </row>
    <row r="56" spans="1:28" ht="15.75" thickBot="1">
      <c r="B56" s="92"/>
      <c r="C56" s="21"/>
      <c r="D56" s="30"/>
      <c r="E56" s="28"/>
      <c r="F56" s="21"/>
      <c r="G56" s="21"/>
      <c r="H56" s="21"/>
      <c r="I56" s="21"/>
      <c r="J56" s="93"/>
      <c r="N56" s="10"/>
      <c r="O56" s="125"/>
      <c r="P56" s="134"/>
      <c r="Q56" s="134"/>
      <c r="R56" s="135"/>
      <c r="S56" s="134"/>
      <c r="T56" s="134"/>
      <c r="U56" s="134"/>
      <c r="V56" s="134"/>
      <c r="W56" s="131"/>
      <c r="X56" s="10"/>
    </row>
    <row r="57" spans="1:28" ht="16.5" thickBot="1">
      <c r="B57" s="92"/>
      <c r="C57" s="56" t="s">
        <v>118</v>
      </c>
      <c r="D57" s="62"/>
      <c r="E57" s="68">
        <f>+E49+E55</f>
        <v>0</v>
      </c>
      <c r="F57" s="97" t="s">
        <v>53</v>
      </c>
      <c r="G57" s="21"/>
      <c r="H57" s="21"/>
      <c r="I57" s="21"/>
      <c r="J57" s="93"/>
      <c r="N57" s="10"/>
      <c r="O57" s="125"/>
      <c r="P57" s="56" t="str">
        <f>+C57</f>
        <v>Desconto da tarifa social</v>
      </c>
      <c r="Q57" s="148"/>
      <c r="R57" s="68">
        <f>+R49+R55</f>
        <v>0</v>
      </c>
      <c r="S57" s="136" t="s">
        <v>53</v>
      </c>
      <c r="T57" s="134"/>
      <c r="U57" s="134"/>
      <c r="V57" s="134"/>
      <c r="W57" s="131"/>
      <c r="X57" s="10"/>
    </row>
    <row r="58" spans="1:28" ht="15.75" thickBot="1">
      <c r="B58" s="98"/>
      <c r="C58" s="99"/>
      <c r="D58" s="99"/>
      <c r="E58" s="99"/>
      <c r="F58" s="99"/>
      <c r="G58" s="99"/>
      <c r="H58" s="99"/>
      <c r="I58" s="99"/>
      <c r="J58" s="100"/>
      <c r="N58" s="10"/>
      <c r="O58" s="128"/>
      <c r="P58" s="133"/>
      <c r="Q58" s="133"/>
      <c r="R58" s="133"/>
      <c r="S58" s="133"/>
      <c r="T58" s="133"/>
      <c r="U58" s="133"/>
      <c r="V58" s="133"/>
      <c r="W58" s="132"/>
      <c r="X58" s="10"/>
    </row>
    <row r="59" spans="1:28" ht="15.75" thickTop="1">
      <c r="N59" s="10"/>
      <c r="O59" s="10"/>
      <c r="P59" s="10"/>
      <c r="Q59" s="10"/>
      <c r="R59" s="10"/>
      <c r="S59" s="10"/>
      <c r="T59" s="10"/>
      <c r="U59" s="10"/>
      <c r="V59" s="10"/>
      <c r="W59" s="10"/>
      <c r="X59" s="10"/>
    </row>
    <row r="60" spans="1:28"/>
    <row r="61" spans="1:28">
      <c r="A61" s="74" t="s">
        <v>67</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row>
    <row r="62" spans="1:28" ht="15.75" thickBot="1">
      <c r="A62" s="104" t="s">
        <v>103</v>
      </c>
    </row>
    <row r="63" spans="1:28">
      <c r="A63" s="155" t="s">
        <v>54</v>
      </c>
    </row>
    <row r="64" spans="1:28">
      <c r="A64" s="12" t="s">
        <v>45</v>
      </c>
    </row>
    <row r="65" spans="1:13" ht="15.75" thickBot="1">
      <c r="A65" s="13" t="s">
        <v>106</v>
      </c>
    </row>
    <row r="66" spans="1:13"/>
    <row r="67" spans="1:13">
      <c r="A67" s="31" t="s">
        <v>78</v>
      </c>
    </row>
    <row r="68" spans="1:13">
      <c r="A68" t="s">
        <v>81</v>
      </c>
    </row>
    <row r="69" spans="1:13">
      <c r="A69" t="s">
        <v>27</v>
      </c>
      <c r="L69" s="9"/>
      <c r="M69" s="9"/>
    </row>
    <row r="70" spans="1:13">
      <c r="A70" t="s">
        <v>107</v>
      </c>
    </row>
    <row r="71" spans="1:13">
      <c r="A71" s="88" t="s">
        <v>31</v>
      </c>
    </row>
    <row r="72" spans="1:13">
      <c r="A72" s="88" t="s">
        <v>32</v>
      </c>
    </row>
    <row r="73" spans="1:13"/>
  </sheetData>
  <conditionalFormatting sqref="L46:L47">
    <cfRule type="containsText" dxfId="3" priority="3" operator="containsText" text="S">
      <formula>NOT(ISERROR(SEARCH("S",L46)))</formula>
    </cfRule>
    <cfRule type="containsText" dxfId="2" priority="4" operator="containsText" text="N">
      <formula>NOT(ISERROR(SEARCH("N",L46)))</formula>
    </cfRule>
  </conditionalFormatting>
  <conditionalFormatting sqref="L53">
    <cfRule type="containsText" dxfId="1" priority="1" operator="containsText" text="S">
      <formula>NOT(ISERROR(SEARCH("S",L53)))</formula>
    </cfRule>
    <cfRule type="containsText" dxfId="0" priority="2" operator="containsText" text="N">
      <formula>NOT(ISERROR(SEARCH("N",L53)))</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5</vt:i4>
      </vt:variant>
    </vt:vector>
  </HeadingPairs>
  <TitlesOfParts>
    <vt:vector size="9" baseType="lpstr">
      <vt:lpstr>Eletricidade</vt:lpstr>
      <vt:lpstr>Gás Natural</vt:lpstr>
      <vt:lpstr>Dados Eletricidade</vt:lpstr>
      <vt:lpstr>Dados Gás</vt:lpstr>
      <vt:lpstr>CAV_EE</vt:lpstr>
      <vt:lpstr>escalao</vt:lpstr>
      <vt:lpstr>opçao_horario</vt:lpstr>
      <vt:lpstr>potencias</vt:lpstr>
      <vt:lpstr>territorio</vt:lpstr>
    </vt:vector>
  </TitlesOfParts>
  <Company>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Horta</dc:creator>
  <cp:lastModifiedBy>André Leitão</cp:lastModifiedBy>
  <cp:lastPrinted>2017-04-20T10:46:43Z</cp:lastPrinted>
  <dcterms:created xsi:type="dcterms:W3CDTF">2017-04-11T13:58:51Z</dcterms:created>
  <dcterms:modified xsi:type="dcterms:W3CDTF">2023-05-10T10:57:38Z</dcterms:modified>
  <cp:contentStatus/>
</cp:coreProperties>
</file>